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" sheetId="2" r:id="rId2"/>
  </sheets>
  <definedNames>
    <definedName name="_xlnm.Print_Area" localSheetId="0">'Krycí list rozpočtu'!$A$1:$I$36</definedName>
    <definedName name="_xlnm.Print_Area" localSheetId="1">'Stavební rozpočet'!$A$1:$L$246</definedName>
  </definedNames>
  <calcPr fullCalcOnLoad="1"/>
</workbook>
</file>

<file path=xl/sharedStrings.xml><?xml version="1.0" encoding="utf-8"?>
<sst xmlns="http://schemas.openxmlformats.org/spreadsheetml/2006/main" count="908" uniqueCount="485">
  <si>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</si>
  <si>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</si>
  <si>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</si>
  <si>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</si>
  <si>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</si>
  <si>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</si>
  <si>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</si>
  <si>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</si>
  <si>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</si>
  <si>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</si>
  <si>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</si>
  <si>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</si>
  <si>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</si>
  <si>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</si>
  <si>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</si>
  <si>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</si>
  <si>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</si>
  <si>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</si>
  <si>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</si>
  <si>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</si>
  <si>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</si>
  <si>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</si>
  <si>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</si>
  <si>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</si>
  <si>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</si>
  <si>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</si>
  <si>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</si>
  <si>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</si>
  <si>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</si>
  <si>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</si>
  <si>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</si>
  <si>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</si>
  <si>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</si>
  <si>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</si>
  <si>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</si>
  <si>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</si>
  <si>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</si>
  <si>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</si>
  <si>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</si>
  <si>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</si>
  <si>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</si>
  <si>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</si>
  <si>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</si>
  <si>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</si>
  <si>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</si>
  <si>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</si>
  <si>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</si>
  <si>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</si>
  <si>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</si>
  <si>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</si>
  <si>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</si>
  <si>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</si>
  <si>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</si>
  <si>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</si>
  <si>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</si>
  <si>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</si>
  <si>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</si>
  <si>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</si>
  <si>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</si>
  <si>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</si>
  <si>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</si>
  <si>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</si>
  <si>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</si>
  <si>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</si>
  <si>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</si>
  <si>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</si>
  <si>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</si>
  <si>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</si>
  <si>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</si>
  <si>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</si>
  <si>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</si>
  <si>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</si>
  <si>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</si>
  <si>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</si>
  <si>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</si>
  <si>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</si>
  <si>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</si>
  <si>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</si>
  <si>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</si>
  <si>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</si>
  <si>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</si>
  <si>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</si>
  <si>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</si>
  <si>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</si>
  <si>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</si>
  <si>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</si>
  <si>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</si>
  <si>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</si>
  <si>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</si>
  <si>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</si>
  <si>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</si>
  <si>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</si>
  <si>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</si>
  <si>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</si>
  <si>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</si>
  <si>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</si>
  <si>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</si>
  <si>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</si>
  <si>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</si>
  <si>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</si>
  <si>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</si>
  <si>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</si>
  <si>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</si>
  <si>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</si>
  <si>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</si>
  <si>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</si>
  <si>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</si>
  <si>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</si>
  <si>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</si>
  <si>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</si>
  <si>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</si>
  <si>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</si>
  <si>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Kód</t>
  </si>
  <si>
    <t>139601103R00</t>
  </si>
  <si>
    <t>174101102R00</t>
  </si>
  <si>
    <t>113106121R00</t>
  </si>
  <si>
    <t>113107112R00</t>
  </si>
  <si>
    <t>979087112R00</t>
  </si>
  <si>
    <t>979082318R00</t>
  </si>
  <si>
    <t>979093111R00</t>
  </si>
  <si>
    <t>979999997R00</t>
  </si>
  <si>
    <t>311271177RT2</t>
  </si>
  <si>
    <t>564851112R00</t>
  </si>
  <si>
    <t>596811111R00</t>
  </si>
  <si>
    <t>612409991R00</t>
  </si>
  <si>
    <t>611481113R00</t>
  </si>
  <si>
    <t>601021147RT1</t>
  </si>
  <si>
    <t>601021144RT2</t>
  </si>
  <si>
    <t>612420016RAA</t>
  </si>
  <si>
    <t>620991121R00</t>
  </si>
  <si>
    <t>622903111R00</t>
  </si>
  <si>
    <t>622311134RT3</t>
  </si>
  <si>
    <t>622311853RT3</t>
  </si>
  <si>
    <t>622311524RV1</t>
  </si>
  <si>
    <t>622421492R00</t>
  </si>
  <si>
    <t>622481292R00</t>
  </si>
  <si>
    <t>28350106</t>
  </si>
  <si>
    <t>641952211R00</t>
  </si>
  <si>
    <t>641952341R00</t>
  </si>
  <si>
    <t>641952451R00</t>
  </si>
  <si>
    <t>648991113RT2</t>
  </si>
  <si>
    <t>713</t>
  </si>
  <si>
    <t>713111125R00</t>
  </si>
  <si>
    <t>28375768.A</t>
  </si>
  <si>
    <t>998713103R00</t>
  </si>
  <si>
    <t>764</t>
  </si>
  <si>
    <t>764900050RAA</t>
  </si>
  <si>
    <t>764410330R00</t>
  </si>
  <si>
    <t>55342088</t>
  </si>
  <si>
    <t>764900060RA0</t>
  </si>
  <si>
    <t>764521460R00</t>
  </si>
  <si>
    <t>998764103R00</t>
  </si>
  <si>
    <t>766</t>
  </si>
  <si>
    <t>766629111R00</t>
  </si>
  <si>
    <t>766629301R00</t>
  </si>
  <si>
    <t>61143800</t>
  </si>
  <si>
    <t>61143806</t>
  </si>
  <si>
    <t>61143807</t>
  </si>
  <si>
    <t>61143812</t>
  </si>
  <si>
    <t>61143801</t>
  </si>
  <si>
    <t>766629302R00</t>
  </si>
  <si>
    <t>61143813</t>
  </si>
  <si>
    <t>61143817</t>
  </si>
  <si>
    <t>61143833</t>
  </si>
  <si>
    <t>766629303R00</t>
  </si>
  <si>
    <t>61143860</t>
  </si>
  <si>
    <t>61143196</t>
  </si>
  <si>
    <t>769000000R00</t>
  </si>
  <si>
    <t>61143202</t>
  </si>
  <si>
    <t>61143190</t>
  </si>
  <si>
    <t>61143869</t>
  </si>
  <si>
    <t>766670059RAA</t>
  </si>
  <si>
    <t>769000001R00</t>
  </si>
  <si>
    <t>61143792.A</t>
  </si>
  <si>
    <t>998766103R00</t>
  </si>
  <si>
    <t>767</t>
  </si>
  <si>
    <t>767651220R00</t>
  </si>
  <si>
    <t>55344630</t>
  </si>
  <si>
    <t>998767103R00</t>
  </si>
  <si>
    <t>784</t>
  </si>
  <si>
    <t>784191101R00</t>
  </si>
  <si>
    <t>784195212R00</t>
  </si>
  <si>
    <t>941941032R00</t>
  </si>
  <si>
    <t>941941192RT2</t>
  </si>
  <si>
    <t>941941832R00</t>
  </si>
  <si>
    <t>944944011R00</t>
  </si>
  <si>
    <t>944944031R00</t>
  </si>
  <si>
    <t>944944081R00</t>
  </si>
  <si>
    <t>944945012R00</t>
  </si>
  <si>
    <t>944945192R00</t>
  </si>
  <si>
    <t>944945812R00</t>
  </si>
  <si>
    <t>941955002R00</t>
  </si>
  <si>
    <t>952901111R00</t>
  </si>
  <si>
    <t>900      R04</t>
  </si>
  <si>
    <t>553 PC99.AVD</t>
  </si>
  <si>
    <t>999281211R00</t>
  </si>
  <si>
    <t>968071126R00</t>
  </si>
  <si>
    <t>968072559R00</t>
  </si>
  <si>
    <t>968061112R00</t>
  </si>
  <si>
    <t>968061113R00</t>
  </si>
  <si>
    <t>968061126R00</t>
  </si>
  <si>
    <t>968062354R00</t>
  </si>
  <si>
    <t>968062356R00</t>
  </si>
  <si>
    <t>968062357R00</t>
  </si>
  <si>
    <t>968062456R00</t>
  </si>
  <si>
    <t>979011111R00</t>
  </si>
  <si>
    <t>979011121R00</t>
  </si>
  <si>
    <t>979082111R00</t>
  </si>
  <si>
    <t>979082121R00</t>
  </si>
  <si>
    <t>979086112R00</t>
  </si>
  <si>
    <t>979086213R00</t>
  </si>
  <si>
    <t>979981106R00</t>
  </si>
  <si>
    <t>M21</t>
  </si>
  <si>
    <t>900      RE7</t>
  </si>
  <si>
    <t>34599001VD</t>
  </si>
  <si>
    <t>210220002RT1</t>
  </si>
  <si>
    <t>210220301RT1</t>
  </si>
  <si>
    <t>210220301RT3</t>
  </si>
  <si>
    <t>210220301RT2</t>
  </si>
  <si>
    <t>OSSZ ÚSTÍ NAD ORLICÍ</t>
  </si>
  <si>
    <t>Opravy a údržba</t>
  </si>
  <si>
    <t>Smetanova 43, Ústí nad Orlicí</t>
  </si>
  <si>
    <t>Zkrácený popis</t>
  </si>
  <si>
    <t>Rozměry</t>
  </si>
  <si>
    <t>Zemní práce</t>
  </si>
  <si>
    <t>Ruční výkop jam, rýh a šachet v hornině tř. 4</t>
  </si>
  <si>
    <t>((18+7,2+10,8+2,8)*0,3+7,1*0,6+7,6*0,6+(11,4+10,8+7,2+11)*0,6+15,15*0,5)*0,5</t>
  </si>
  <si>
    <t>Zásyp ruční se zhutněním</t>
  </si>
  <si>
    <t>26,14</t>
  </si>
  <si>
    <t>Přípravné a přidružené práce</t>
  </si>
  <si>
    <t>Rozebrání dlažeb z betonových dlaždic na sucho</t>
  </si>
  <si>
    <t>(18+7,2+10,8+2,8+7,1+7,6+11,4+10,8+7,2+11+15,15)*0,5</t>
  </si>
  <si>
    <t>Odstranění podkladu pl. 200 m2,kam.těžené tl.20 cm</t>
  </si>
  <si>
    <t>Nakládání suti na dopravní prostředky</t>
  </si>
  <si>
    <t>Vodorovná doprava suti a hmot po suchu do 6000 m</t>
  </si>
  <si>
    <t>Uložení suti na skládku bez zhutnění</t>
  </si>
  <si>
    <t>Poplatek za skládku čistá suť</t>
  </si>
  <si>
    <t>Zdi podpěrné a volné</t>
  </si>
  <si>
    <t>Zdivo z tvárnic Ytong hladkých tl. 30 cm tvárnice P 4 - 500, 499 x 249 x 300 mm</t>
  </si>
  <si>
    <t>1,3*0,6*2+2,5*3</t>
  </si>
  <si>
    <t>Podkladní vrstvy komunikací, letišť a ploch</t>
  </si>
  <si>
    <t>Podklad ze štěrkodrti po zhutnění tloušťky 16 cm</t>
  </si>
  <si>
    <t>Dlažby pozemních komunikací a ploch</t>
  </si>
  <si>
    <t>Kladení dlaždic kom.pro pěší, lože z kameniva těž. - použity původní dlaždice</t>
  </si>
  <si>
    <t>Úprava povrchů vnitřní</t>
  </si>
  <si>
    <t>Začištění omítek kolem oken,dveří apod.</t>
  </si>
  <si>
    <t>(3,05+1,89*2)*39+(1,2+2,2*2)*18+(3,2+0,72*2)*3+(1,125+0,6*2)*18+(0,85+0,6*2)*20</t>
  </si>
  <si>
    <t>(0,785+1*2)+(1,4+3,5*2)*8+(1,2+1,8*2)*5+(2,4+1,8*2)*2+(1,4+2,1*2)*5+(2,4+2,1*2)*4</t>
  </si>
  <si>
    <t>(0,85+0,85*2)*9+(3,05+2,1*2)*7+(0,55+0,55*2)+(3,05+2,1*2)*8</t>
  </si>
  <si>
    <t>(0,7+0,82*2)*5+(1,4+2,1*2)*5;okna</t>
  </si>
  <si>
    <t>(1,5+2,1*2)+(1,4+2,705*2)+(1,48+2*2)+(3,2+2,337*2)*3+(2,5+2,6*2);dveře</t>
  </si>
  <si>
    <t>Potažení stropů sklotextilní výztužnou síťkou</t>
  </si>
  <si>
    <t>626,3</t>
  </si>
  <si>
    <t>Stěrka vyrovnávací, ručně tloušťka vrstvy 3 mm</t>
  </si>
  <si>
    <t>Omítka stropů vápenosádrová štuková, ručně tloušťka vrstvy 3 mm</t>
  </si>
  <si>
    <t>Omítka stěn vnitřní MVC štuková, pomocné lešení</t>
  </si>
  <si>
    <t>Úprava povrchů vnější</t>
  </si>
  <si>
    <t>Zakrývání výplní vnějších otvorů z lešení</t>
  </si>
  <si>
    <t>3,05*1,89*39+1,2*2,2*18+3,2*0,72*3+1,125*0,6*18+0,85*0,6*20+1,4*2,1*5</t>
  </si>
  <si>
    <t>0,785*1+1,4*3,5*8+1,2*1,8*5+2,4*1,8*2+0,85*0,85*9+3,05*2,1*7+0,55*0,55+3,05*2,1*8</t>
  </si>
  <si>
    <t>0,7*0,82*5+1,4*2,1*5;okna</t>
  </si>
  <si>
    <t>1,5*2,1+1,4*2,705+1,48*2+3,2*2,337*3+2,5*2,6;dveře</t>
  </si>
  <si>
    <t>2,4*2,1*4</t>
  </si>
  <si>
    <t>Očištění zdí a valů před opravou, ručně</t>
  </si>
  <si>
    <t>2227+98,44</t>
  </si>
  <si>
    <t>Zateplovací systémt, fasáda, EPS F tl.140 mm s omítkou Silikon 3,2 kg/m2</t>
  </si>
  <si>
    <t>2227</t>
  </si>
  <si>
    <t>Zatepl.syst., ostění, miner.desky PV 20 mm s omítkou Silikon3,2 kg/m2</t>
  </si>
  <si>
    <t>634</t>
  </si>
  <si>
    <t>Zateplovací systém , sokl, XPS tl. 140 mm zakončený stěrkou s výztužnou tkaninou</t>
  </si>
  <si>
    <t>38+6,16+32,52+10,41+11,35</t>
  </si>
  <si>
    <t>Doplňky zatepl. systémů, okenní lišta s tkaninou</t>
  </si>
  <si>
    <t>3170</t>
  </si>
  <si>
    <t>Montáž výztužné lišty okenní a podparapetní</t>
  </si>
  <si>
    <t>Profil okenní začišťující APU 9 mm l = 2,4 m</t>
  </si>
  <si>
    <t>;ztratné 7%; 226,2533</t>
  </si>
  <si>
    <t>Osazování výplní otvorů</t>
  </si>
  <si>
    <t>Osazení rámů okenních dřevěných/plastových, plocha do 2,5 m2</t>
  </si>
  <si>
    <t>Osazení rámů okenních dřevěných/plastových, plocha do 4 m2</t>
  </si>
  <si>
    <t>Osazení rámů okenních dřevěných/plastových, plocha do 10 m2</t>
  </si>
  <si>
    <t>Osazení parapetních desek z plast. hmot včetně dodávky parapetní desky š. 250 mm</t>
  </si>
  <si>
    <t>3,05*39+1,2*18+3,2*3+1,125*18+0,85*20+0,785+1,4*8+1,2*5+2,4*2+1,4*5</t>
  </si>
  <si>
    <t>0,85*9+3,05*7+0,55+3,05*8+0,7*5+1,4*5</t>
  </si>
  <si>
    <t>Izolace tepelné</t>
  </si>
  <si>
    <t>Izolace tepelné stropů rovných spodem, lepením</t>
  </si>
  <si>
    <t>Deska polystyrén samozhášivý EPS 150 S  tl.120mm</t>
  </si>
  <si>
    <t>626,3*0,12</t>
  </si>
  <si>
    <t>;ztratné 5%; 3,946</t>
  </si>
  <si>
    <t>Přesun hmot pro izolace tepelné, výšky do 24 m</t>
  </si>
  <si>
    <t>Konstrukce klempířské</t>
  </si>
  <si>
    <t>Demontáž oplechování parapetů z plechu pozinkovaného</t>
  </si>
  <si>
    <t>Oplechování parapetů včetně rohů Al, rš 200 mm</t>
  </si>
  <si>
    <t>Parapet vnější hliníkový ALIN bílý š 210 mm řezaný</t>
  </si>
  <si>
    <t>281,64</t>
  </si>
  <si>
    <t>;ztratné 8%; 24,748</t>
  </si>
  <si>
    <t>Demontáž oplechování zdí</t>
  </si>
  <si>
    <t>59,34+8,27+44,415+10,6+40,705*2+20,1+15,66+5,6+17,2+14,9+3,6+4,125+12,35+41,8</t>
  </si>
  <si>
    <t>2,2*2+31,5+11,6+11,2+9,6+12,35</t>
  </si>
  <si>
    <t>Oplechování říms z Ti Zn plechu, rš 400 mm</t>
  </si>
  <si>
    <t>420,02</t>
  </si>
  <si>
    <t>Přesun hmot pro klempířské konstr., výšky do 24 m</t>
  </si>
  <si>
    <t>Konstrukce truhlářské</t>
  </si>
  <si>
    <t>Sdružení zdvojených oken - dvou kusů</t>
  </si>
  <si>
    <t>Montáž oken plastových plochy do 1,50 m2</t>
  </si>
  <si>
    <t>Okno plastové jednokřídlé 55 x 55 cm OS bílé</t>
  </si>
  <si>
    <t>Okno plastové jednokřídlé 85 x 60 cm OS bílé</t>
  </si>
  <si>
    <t>Okno plastové jednokřídlé 70 x 82 cm OS bílé</t>
  </si>
  <si>
    <t>Okno plastové jednokřídlé 113 x 60 cm OS bílé</t>
  </si>
  <si>
    <t>Okno plastové jednokřídlé 85 x 85 cm OS bílé</t>
  </si>
  <si>
    <t>Okno plastové jednokřídlé 79 x 100 cm OS bílé</t>
  </si>
  <si>
    <t>Montáž oken plastových plochy do 2,70 m2</t>
  </si>
  <si>
    <t>Okno plastové jednokřídlé 120 x 180 cm OS bílé</t>
  </si>
  <si>
    <t>Okno plastové čtyřkřídlé 320 x 72 cm OS bílé</t>
  </si>
  <si>
    <t>Okno plastové dvoukřídlé 120 x 220 cm O+OS bílé</t>
  </si>
  <si>
    <t>Montáž oken plastových plochy do 4,50 m2</t>
  </si>
  <si>
    <t>Okno plastové dvojkřídlé 240 x 180 cm OS+OS bílé</t>
  </si>
  <si>
    <t>Okno plast. dělené ve výšce 140x210 (60+150) OS/P</t>
  </si>
  <si>
    <t>Montáž plastových oken</t>
  </si>
  <si>
    <t>Okno plast. dělené ve výšce 140x350 (175+175) OS/S</t>
  </si>
  <si>
    <t>Okno plast. dělené ve výšce 2x120x210 (150+60) OS/S</t>
  </si>
  <si>
    <t>Okno plastové dvojkřídlé 305 x 189 cm OS+OS bílé</t>
  </si>
  <si>
    <t>Okno plastové dvojkřídlé 305 x 210 cm OS+OS bílé</t>
  </si>
  <si>
    <t>Stěna plastová bílá, dvojsklo  3200x2337mm 8midílná</t>
  </si>
  <si>
    <t>3,2*2,337*2</t>
  </si>
  <si>
    <t>Stěna plastová bílá, dvojsklo 3200x2337mm s dveřmi 1600x2020mm</t>
  </si>
  <si>
    <t>3,2*2,337</t>
  </si>
  <si>
    <t>Montáž plastových dveří a vrat</t>
  </si>
  <si>
    <t>Dveře vchodové plast  1500x2100 otevíravé</t>
  </si>
  <si>
    <t>Dveře vchodové plast  1400x2705 otevíravé</t>
  </si>
  <si>
    <t>Dveře vchodové plast  1480x2000 otevíravé</t>
  </si>
  <si>
    <t>Přesun hmot pro truhlářské konstr., výšky do 24 m</t>
  </si>
  <si>
    <t>Konstrukce doplňkové stavební (zámečnické)</t>
  </si>
  <si>
    <t>Montáž vrat otočných do ocel.zárubně, pl.do 9 m2</t>
  </si>
  <si>
    <t>Vrata ocelová 746616 250 x 260 s rámem zateplená</t>
  </si>
  <si>
    <t>Přesun hmot pro zámečnické konstr., výšky do 24 m</t>
  </si>
  <si>
    <t>Malby</t>
  </si>
  <si>
    <t>Penetrace podkladu univerzální 1x</t>
  </si>
  <si>
    <t>626,3+9,06</t>
  </si>
  <si>
    <t>Malba tekutá, bílá, 2 x</t>
  </si>
  <si>
    <t>635,36</t>
  </si>
  <si>
    <t>Lešení a stavební výtahy</t>
  </si>
  <si>
    <t>Montáž lešení leh.řad.s podlahami,š.do 1 m, H 30 m</t>
  </si>
  <si>
    <t>938+115+672+647+232+584+136+42+49+277+159+55+115</t>
  </si>
  <si>
    <t>Příplatek za každý měsíc použití lešení k pol.1032</t>
  </si>
  <si>
    <t>4021*3</t>
  </si>
  <si>
    <t>Demontáž lešení leh.řad.s podlahami,š.1 m, H 30 m</t>
  </si>
  <si>
    <t>4021</t>
  </si>
  <si>
    <t>Montáž ochranné sítě z umělých vláken</t>
  </si>
  <si>
    <t>Příplatek za každý měsíc použití sítí k pol. 4011</t>
  </si>
  <si>
    <t>Demontáž ochranné sítě z umělých vláken</t>
  </si>
  <si>
    <t>Montáž záchytné stříšky H 4,5 m, šířky do 2 m</t>
  </si>
  <si>
    <t>Příplatek za každý měsíc použ.stříšky, k pol. 5012</t>
  </si>
  <si>
    <t>8,3</t>
  </si>
  <si>
    <t>Demontáž záchytné stříšky H 4,5 m, šířky do 2 m</t>
  </si>
  <si>
    <t>Lešení lehké pomocné, výška podlahy do 1,9 m</t>
  </si>
  <si>
    <t>513+113</t>
  </si>
  <si>
    <t>Různé dokončovací konstrukce a práce pozemních staveb</t>
  </si>
  <si>
    <t>Vyčištění budov o výšce podlaží do 4 m - úklid kolem objektu  a denní úklid po skončení prací</t>
  </si>
  <si>
    <t>(59,34+8,27+44,415+10,6+40,705*2+20,1+15,66+5,6+17,2+14,9+3,6+4,125+12,35+41,8)*2,5</t>
  </si>
  <si>
    <t>(2,2*2+31,5+11,6+11,2+9,6+12,35)*2,5   plocha zabraná stavbou a lešením</t>
  </si>
  <si>
    <t>HZS - stavební práce stavební dělník v tarifní třídě 7 - úpravy doplňků staveb - odhad</t>
  </si>
  <si>
    <t>Nespecifikovaný materiál (prodloužení kotev, ventilací, apod.)</t>
  </si>
  <si>
    <t>Přesun hmot, opravy vněj. plášťů výšky do 25 m</t>
  </si>
  <si>
    <t>Bourání konstrukcí</t>
  </si>
  <si>
    <t>Vyvěšení, zavěšení kovových křídel dveří nad 2 m2</t>
  </si>
  <si>
    <t>Vybourání kovových vrat plochy nad 5 m2</t>
  </si>
  <si>
    <t>2,5*2,6</t>
  </si>
  <si>
    <t>Vyvěšení dřevěných okenních křídel pl. do 1,5 m2</t>
  </si>
  <si>
    <t>129</t>
  </si>
  <si>
    <t>Vyvěšení dřevěných okenních křídel pl. nad 1,5 m2</t>
  </si>
  <si>
    <t>182</t>
  </si>
  <si>
    <t>Vyvěšení dřevěných dveřních křídel pl. nad 2 m2</t>
  </si>
  <si>
    <t>Vybourání dřevěných rámů oken dvojitých pl. 1 m2</t>
  </si>
  <si>
    <t>0,55*0,55+0,85*0,51*20+0,7*0,82*5+1,125*0,6*18+0,85*0,85*9+0,785*1+1,3*0,6*2</t>
  </si>
  <si>
    <t>Vybourání dřevěných rámů oken dvojitých pl. 4 m2</t>
  </si>
  <si>
    <t>1,2*1,8*5+3,2*0,75*3+1,2*2,2*18+1,4*2,1*10</t>
  </si>
  <si>
    <t>Vybourání dřevěných rámů oken dvojitých nad  4 m2</t>
  </si>
  <si>
    <t>2,4*1,8*2+2,8*3,5*3+1,4*3,5*2+2,4*2,1*4+3,05*1,98*39+3,05*2,1*15+3,2*2,337*2</t>
  </si>
  <si>
    <t>Vybourání dřevěných dveřních zárubní pl. nad 2 m2</t>
  </si>
  <si>
    <t>3,2*2,337+1,5*2,1+1,4*2,705+1,48*2</t>
  </si>
  <si>
    <t>Svislá doprava suti a vybour. hmot za 2.NP a 1.PP</t>
  </si>
  <si>
    <t>Příplatek za každé další podlaží - (3-4,podl.)</t>
  </si>
  <si>
    <t>Vnitrostaveništní doprava suti do 10 m</t>
  </si>
  <si>
    <t>Příplatek k vnitrost. dopravě suti za dalších 5 m - 50m</t>
  </si>
  <si>
    <t>Nakládání nebo překládání suti a vybouraných hmot</t>
  </si>
  <si>
    <t>Nakládání vybouraných hmot na dopravní prostředek</t>
  </si>
  <si>
    <t>Kontejner, suť  odvoz a likvidace,12 t</t>
  </si>
  <si>
    <t>Elektromontáže</t>
  </si>
  <si>
    <t>HZS - stavební práce elektromontér v tarifní třídě 7 - upřesní se dle skutečnosti</t>
  </si>
  <si>
    <t>150;demontáže hromosvodů. drobné úpravy EI</t>
  </si>
  <si>
    <t>Drobný instalační a pomocný materiál</t>
  </si>
  <si>
    <t>Vedení uzemňovací na povrchu FeZn D 10 mm včetně drátu FeZn 8 mm - nový hromosvod</t>
  </si>
  <si>
    <t>16,5*2+15*2+14,5*4+14+15,5+12*4+13+11,5*2+5,5*2+11+6,5*2+5*2;svody</t>
  </si>
  <si>
    <t>2,2*2+31,5+11,6+11,2+9,6+12,35;střecha</t>
  </si>
  <si>
    <t>Svorka hromosvodová do 2 šroubů /SS, SZ, SO/ včetně dodávky svorky SO</t>
  </si>
  <si>
    <t>Svorka hromosvodová do 2 šroubů včetně dodávky svorky SZ</t>
  </si>
  <si>
    <t>Svorka hromosvodová do 2 šroubů včetně dodávky svorky SS</t>
  </si>
  <si>
    <t>M.j.</t>
  </si>
  <si>
    <t>m3</t>
  </si>
  <si>
    <t>m2</t>
  </si>
  <si>
    <t>t</t>
  </si>
  <si>
    <t xml:space="preserve"> m2</t>
  </si>
  <si>
    <t>m</t>
  </si>
  <si>
    <t>kus</t>
  </si>
  <si>
    <t>hod</t>
  </si>
  <si>
    <t>kg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</si>
  <si>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</si>
  <si>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</si>
  <si>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</si>
  <si>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</si>
  <si>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</si>
  <si>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</si>
  <si>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</si>
  <si>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</si>
  <si>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</si>
  <si>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</si>
  <si>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</si>
  <si>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</si>
  <si>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Ústí nad Orlicí, Sychrova 16</t>
  </si>
  <si>
    <t>Ing.Jaroslav Šedivec</t>
  </si>
  <si>
    <t>Dle výběru investora</t>
  </si>
  <si>
    <t>František Polan</t>
  </si>
  <si>
    <t>Celkem</t>
  </si>
  <si>
    <t>Hmotnost (t)</t>
  </si>
  <si>
    <t>Cenová</t>
  </si>
  <si>
    <t>soustava</t>
  </si>
  <si>
    <t>RTS I / 2013</t>
  </si>
  <si>
    <t>RTS II / 2011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</si>
  <si>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</si>
  <si>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</si>
  <si>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</si>
  <si>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</si>
  <si>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</si>
  <si>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</si>
  <si>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</si>
  <si>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</si>
  <si>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</si>
  <si>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</si>
  <si>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</si>
  <si>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</si>
  <si>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</si>
  <si>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</si>
  <si>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</si>
  <si>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</si>
  <si>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</si>
  <si>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</si>
  <si>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</si>
  <si>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</si>
  <si>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</si>
  <si>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</si>
  <si>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</si>
  <si>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</si>
  <si>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</si>
  <si>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</si>
  <si>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</si>
  <si>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</si>
  <si>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</si>
  <si>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</si>
  <si>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</si>
  <si>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</si>
  <si>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</si>
  <si>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Rozpočtová rezerva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</si>
  <si>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</si>
  <si>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</si>
  <si>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</si>
  <si>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</si>
  <si>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</si>
  <si>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</si>
  <si>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</si>
  <si>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</si>
  <si>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</si>
  <si>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</si>
  <si>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</si>
  <si>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</si>
  <si>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</si>
  <si>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</si>
  <si>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</si>
  <si>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</si>
  <si>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</si>
  <si>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</si>
  <si>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</si>
  <si>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</si>
  <si>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1.Materiály uvedené ve specifikacích (okna, dveře a pod.) se řídí referenčními výrobky ze standardů, na základě předložených vzorků investor vybere konkrétní výrobek </t>
  </si>
  <si>
    <t xml:space="preserve">2.Při zpracování nabídky je nutné vycházet ze všech součástí PD (t.j. TZ, výkresová část, specifikace). Povinností dodavatele je překontrolovat výkaz výměr a případné chybějící výkony a dodávky doplnit a ocenit, případné přebývající výkony a dodávky specifikovat a odečíst. </t>
  </si>
  <si>
    <t>3.Dodavatel je povinen ocenit jednotlivé položky tak, aby k jejich splnění nepotřeboval další dodatky a vícepráce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</si>
</sst>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61"/>
      <name val="Arial"/>
      <family val="0"/>
    </font>
    <font>
      <i/>
      <sz val="8"/>
      <color indexed="61"/>
      <name val="Arial"/>
      <family val="0"/>
    </font>
    <font>
      <sz val="8"/>
      <color indexed="62"/>
      <name val="Arial"/>
      <family val="0"/>
    </font>
    <font>
      <i/>
      <sz val="8"/>
      <color indexed="62"/>
      <name val="Arial"/>
      <family val="0"/>
    </font>
    <font>
      <sz val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Tahoma"/>
      <family val="2"/>
    </font>
    <font>
      <b/>
      <sz val="13"/>
      <color indexed="49"/>
      <name val="Tahoma"/>
      <family val="2"/>
    </font>
    <font>
      <b/>
      <sz val="11"/>
      <color indexed="49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54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2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" fontId="8" fillId="33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49" fontId="12" fillId="0" borderId="21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right" vertical="center"/>
      <protection/>
    </xf>
    <xf numFmtId="49" fontId="12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49" fontId="11" fillId="33" borderId="32" xfId="0" applyNumberFormat="1" applyFont="1" applyFill="1" applyBorder="1" applyAlignment="1" applyProtection="1">
      <alignment horizontal="left" vertical="center"/>
      <protection/>
    </xf>
    <xf numFmtId="49" fontId="12" fillId="33" borderId="32" xfId="0" applyNumberFormat="1" applyFont="1" applyFill="1" applyBorder="1" applyAlignment="1" applyProtection="1">
      <alignment horizontal="left" vertical="center"/>
      <protection/>
    </xf>
    <xf numFmtId="4" fontId="12" fillId="33" borderId="32" xfId="0" applyNumberFormat="1" applyFont="1" applyFill="1" applyBorder="1" applyAlignment="1" applyProtection="1">
      <alignment horizontal="right" vertical="center"/>
      <protection/>
    </xf>
    <xf numFmtId="49" fontId="12" fillId="33" borderId="32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49" fontId="12" fillId="33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8" fillId="33" borderId="39" xfId="0" applyNumberFormat="1" applyFont="1" applyFill="1" applyBorder="1" applyAlignment="1" applyProtection="1">
      <alignment horizontal="left"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0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33" borderId="32" xfId="0" applyNumberFormat="1" applyFont="1" applyFill="1" applyBorder="1" applyAlignment="1" applyProtection="1">
      <alignment horizontal="left" vertical="center"/>
      <protection/>
    </xf>
    <xf numFmtId="0" fontId="12" fillId="33" borderId="32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609600</xdr:colOff>
      <xdr:row>0</xdr:row>
      <xdr:rowOff>342900</xdr:rowOff>
    </xdr:to>
    <xdr:pic>
      <xdr:nvPicPr>
        <xdr:cNvPr id="1" name="Picture 1" descr="frapLogo3_si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19050</xdr:rowOff>
    </xdr:from>
    <xdr:to>
      <xdr:col>6</xdr:col>
      <xdr:colOff>514350</xdr:colOff>
      <xdr:row>10</xdr:row>
      <xdr:rowOff>142875</xdr:rowOff>
    </xdr:to>
    <xdr:pic>
      <xdr:nvPicPr>
        <xdr:cNvPr id="2" name="Picture 2" descr="badger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6764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1</xdr:row>
      <xdr:rowOff>0</xdr:rowOff>
    </xdr:to>
    <xdr:pic>
      <xdr:nvPicPr>
        <xdr:cNvPr id="1" name="Picture 1" descr="frapLogo3_si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7</xdr:row>
      <xdr:rowOff>38100</xdr:rowOff>
    </xdr:from>
    <xdr:to>
      <xdr:col>11</xdr:col>
      <xdr:colOff>590550</xdr:colOff>
      <xdr:row>8</xdr:row>
      <xdr:rowOff>123825</xdr:rowOff>
    </xdr:to>
    <xdr:pic>
      <xdr:nvPicPr>
        <xdr:cNvPr id="2" name="Picture 2" descr="badger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28587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D30" sqref="D30:F3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94" t="s">
        <v>441</v>
      </c>
      <c r="B1" s="95"/>
      <c r="C1" s="95"/>
      <c r="D1" s="95"/>
      <c r="E1" s="95"/>
      <c r="F1" s="95"/>
      <c r="G1" s="95"/>
      <c r="H1" s="95"/>
      <c r="I1" s="95"/>
    </row>
    <row r="2" spans="1:10" ht="12.75" customHeight="1">
      <c r="A2" s="96" t="s">
        <v>1</v>
      </c>
      <c r="B2" s="97"/>
      <c r="C2" s="98" t="s">
        <v>219</v>
      </c>
      <c r="D2" s="99"/>
      <c r="E2" s="101" t="s">
        <v>413</v>
      </c>
      <c r="F2" s="101" t="s">
        <v>418</v>
      </c>
      <c r="G2" s="97"/>
      <c r="H2" s="101" t="s">
        <v>478</v>
      </c>
      <c r="I2" s="102"/>
      <c r="J2" s="8"/>
    </row>
    <row r="3" spans="1:10" ht="12.75">
      <c r="A3" s="92"/>
      <c r="B3" s="83"/>
      <c r="C3" s="100"/>
      <c r="D3" s="100"/>
      <c r="E3" s="83"/>
      <c r="F3" s="83"/>
      <c r="G3" s="83"/>
      <c r="H3" s="83"/>
      <c r="I3" s="85"/>
      <c r="J3" s="8"/>
    </row>
    <row r="4" spans="1:10" ht="12.75" customHeight="1">
      <c r="A4" s="86" t="s">
        <v>2</v>
      </c>
      <c r="B4" s="83"/>
      <c r="C4" s="89" t="s">
        <v>220</v>
      </c>
      <c r="D4" s="83"/>
      <c r="E4" s="89" t="s">
        <v>414</v>
      </c>
      <c r="F4" s="89" t="s">
        <v>419</v>
      </c>
      <c r="G4" s="83"/>
      <c r="H4" s="89" t="s">
        <v>478</v>
      </c>
      <c r="I4" s="84"/>
      <c r="J4" s="8"/>
    </row>
    <row r="5" spans="1:10" ht="12.75">
      <c r="A5" s="92"/>
      <c r="B5" s="83"/>
      <c r="C5" s="83"/>
      <c r="D5" s="83"/>
      <c r="E5" s="83"/>
      <c r="F5" s="83"/>
      <c r="G5" s="83"/>
      <c r="H5" s="83"/>
      <c r="I5" s="85"/>
      <c r="J5" s="8"/>
    </row>
    <row r="6" spans="1:10" ht="12.75" customHeight="1">
      <c r="A6" s="86" t="s">
        <v>3</v>
      </c>
      <c r="B6" s="83"/>
      <c r="C6" s="89" t="s">
        <v>221</v>
      </c>
      <c r="D6" s="83"/>
      <c r="E6" s="89" t="s">
        <v>415</v>
      </c>
      <c r="F6" s="89" t="s">
        <v>420</v>
      </c>
      <c r="G6" s="83"/>
      <c r="H6" s="89" t="s">
        <v>478</v>
      </c>
      <c r="I6" s="84"/>
      <c r="J6" s="8"/>
    </row>
    <row r="7" spans="1:10" ht="12.75">
      <c r="A7" s="92"/>
      <c r="B7" s="83"/>
      <c r="C7" s="83"/>
      <c r="D7" s="83"/>
      <c r="E7" s="83"/>
      <c r="F7" s="83"/>
      <c r="G7" s="83"/>
      <c r="H7" s="83"/>
      <c r="I7" s="85"/>
      <c r="J7" s="8"/>
    </row>
    <row r="8" spans="1:10" ht="12.75">
      <c r="A8" s="86"/>
      <c r="B8" s="83"/>
      <c r="C8" s="93"/>
      <c r="D8" s="83"/>
      <c r="E8" s="89"/>
      <c r="F8" s="83"/>
      <c r="G8" s="83"/>
      <c r="H8" s="82" t="s">
        <v>479</v>
      </c>
      <c r="I8" s="84" t="s">
        <v>111</v>
      </c>
      <c r="J8" s="8"/>
    </row>
    <row r="9" spans="1:10" ht="12.75">
      <c r="A9" s="92"/>
      <c r="B9" s="83"/>
      <c r="C9" s="83"/>
      <c r="D9" s="83"/>
      <c r="E9" s="83"/>
      <c r="F9" s="83"/>
      <c r="G9" s="83"/>
      <c r="H9" s="83"/>
      <c r="I9" s="85"/>
      <c r="J9" s="8"/>
    </row>
    <row r="10" spans="1:10" ht="12.75">
      <c r="A10" s="86" t="s">
        <v>4</v>
      </c>
      <c r="B10" s="83"/>
      <c r="C10" s="89">
        <v>8016949</v>
      </c>
      <c r="D10" s="83"/>
      <c r="E10" s="89" t="s">
        <v>416</v>
      </c>
      <c r="F10" s="89" t="s">
        <v>421</v>
      </c>
      <c r="G10" s="83"/>
      <c r="H10" s="82" t="s">
        <v>480</v>
      </c>
      <c r="I10" s="90">
        <v>40945</v>
      </c>
      <c r="J10" s="8"/>
    </row>
    <row r="11" spans="1:10" ht="12.75">
      <c r="A11" s="87"/>
      <c r="B11" s="88"/>
      <c r="C11" s="88"/>
      <c r="D11" s="88"/>
      <c r="E11" s="88"/>
      <c r="F11" s="88"/>
      <c r="G11" s="88"/>
      <c r="H11" s="88"/>
      <c r="I11" s="91"/>
      <c r="J11" s="8"/>
    </row>
    <row r="12" spans="1:9" ht="23.25" customHeight="1">
      <c r="A12" s="78" t="s">
        <v>442</v>
      </c>
      <c r="B12" s="79"/>
      <c r="C12" s="79"/>
      <c r="D12" s="79"/>
      <c r="E12" s="79"/>
      <c r="F12" s="79"/>
      <c r="G12" s="79"/>
      <c r="H12" s="79"/>
      <c r="I12" s="79"/>
    </row>
    <row r="13" spans="1:10" ht="26.25" customHeight="1">
      <c r="A13" s="13" t="s">
        <v>443</v>
      </c>
      <c r="B13" s="80" t="s">
        <v>455</v>
      </c>
      <c r="C13" s="81"/>
      <c r="D13" s="13" t="s">
        <v>457</v>
      </c>
      <c r="E13" s="80" t="s">
        <v>466</v>
      </c>
      <c r="F13" s="81"/>
      <c r="G13" s="13" t="s">
        <v>467</v>
      </c>
      <c r="H13" s="80" t="s">
        <v>481</v>
      </c>
      <c r="I13" s="81"/>
      <c r="J13" s="8"/>
    </row>
    <row r="14" spans="1:10" ht="15" customHeight="1">
      <c r="A14" s="14" t="s">
        <v>444</v>
      </c>
      <c r="B14" s="18" t="s">
        <v>456</v>
      </c>
      <c r="C14" s="20">
        <f>SUM('Stavební rozpočet'!R12:R240)</f>
        <v>0</v>
      </c>
      <c r="D14" s="76" t="s">
        <v>458</v>
      </c>
      <c r="E14" s="77"/>
      <c r="F14" s="20">
        <v>0</v>
      </c>
      <c r="G14" s="76" t="s">
        <v>468</v>
      </c>
      <c r="H14" s="77"/>
      <c r="I14" s="20">
        <f>ROUND(C22*(2.4/100),2)</f>
        <v>0</v>
      </c>
      <c r="J14" s="8"/>
    </row>
    <row r="15" spans="1:10" ht="15" customHeight="1">
      <c r="A15" s="15"/>
      <c r="B15" s="18" t="s">
        <v>417</v>
      </c>
      <c r="C15" s="20">
        <f>SUM('Stavební rozpočet'!S12:S240)</f>
        <v>0</v>
      </c>
      <c r="D15" s="76" t="s">
        <v>459</v>
      </c>
      <c r="E15" s="77"/>
      <c r="F15" s="20">
        <v>0</v>
      </c>
      <c r="G15" s="76" t="s">
        <v>469</v>
      </c>
      <c r="H15" s="77"/>
      <c r="I15" s="20">
        <v>0</v>
      </c>
      <c r="J15" s="8"/>
    </row>
    <row r="16" spans="1:10" ht="15" customHeight="1">
      <c r="A16" s="14" t="s">
        <v>445</v>
      </c>
      <c r="B16" s="18" t="s">
        <v>456</v>
      </c>
      <c r="C16" s="20">
        <f>SUM('Stavební rozpočet'!T12:T240)</f>
        <v>0</v>
      </c>
      <c r="D16" s="76" t="s">
        <v>460</v>
      </c>
      <c r="E16" s="77"/>
      <c r="F16" s="20">
        <v>0</v>
      </c>
      <c r="G16" s="76" t="s">
        <v>470</v>
      </c>
      <c r="H16" s="77"/>
      <c r="I16" s="20">
        <v>0</v>
      </c>
      <c r="J16" s="8"/>
    </row>
    <row r="17" spans="1:10" ht="15" customHeight="1">
      <c r="A17" s="15"/>
      <c r="B17" s="18" t="s">
        <v>417</v>
      </c>
      <c r="C17" s="20">
        <f>SUM('Stavební rozpočet'!U12:U240)</f>
        <v>0</v>
      </c>
      <c r="D17" s="76" t="s">
        <v>461</v>
      </c>
      <c r="E17" s="77"/>
      <c r="F17" s="21"/>
      <c r="G17" s="76" t="s">
        <v>471</v>
      </c>
      <c r="H17" s="77"/>
      <c r="I17" s="20">
        <v>0</v>
      </c>
      <c r="J17" s="8"/>
    </row>
    <row r="18" spans="1:10" ht="15" customHeight="1">
      <c r="A18" s="14" t="s">
        <v>446</v>
      </c>
      <c r="B18" s="18" t="s">
        <v>456</v>
      </c>
      <c r="C18" s="20">
        <f>SUM('Stavební rozpočet'!V12:V240)</f>
        <v>0</v>
      </c>
      <c r="D18" s="76"/>
      <c r="E18" s="77"/>
      <c r="F18" s="21"/>
      <c r="G18" s="76" t="s">
        <v>472</v>
      </c>
      <c r="H18" s="77"/>
      <c r="I18" s="20">
        <v>0</v>
      </c>
      <c r="J18" s="8"/>
    </row>
    <row r="19" spans="1:10" ht="15" customHeight="1">
      <c r="A19" s="15"/>
      <c r="B19" s="18" t="s">
        <v>417</v>
      </c>
      <c r="C19" s="20">
        <f>SUM('Stavební rozpočet'!W12:W240)</f>
        <v>0</v>
      </c>
      <c r="D19" s="76"/>
      <c r="E19" s="77"/>
      <c r="F19" s="21"/>
      <c r="G19" s="76" t="s">
        <v>473</v>
      </c>
      <c r="H19" s="77"/>
      <c r="I19" s="20">
        <v>0</v>
      </c>
      <c r="J19" s="8"/>
    </row>
    <row r="20" spans="1:10" ht="15" customHeight="1">
      <c r="A20" s="74" t="s">
        <v>447</v>
      </c>
      <c r="B20" s="75"/>
      <c r="C20" s="20">
        <f>SUM('Stavební rozpočet'!X12:X240)</f>
        <v>0</v>
      </c>
      <c r="D20" s="76"/>
      <c r="E20" s="77"/>
      <c r="F20" s="21"/>
      <c r="G20" s="76"/>
      <c r="H20" s="77"/>
      <c r="I20" s="21"/>
      <c r="J20" s="8"/>
    </row>
    <row r="21" spans="1:10" ht="15" customHeight="1">
      <c r="A21" s="74" t="s">
        <v>448</v>
      </c>
      <c r="B21" s="75"/>
      <c r="C21" s="20">
        <f>SUM('Stavební rozpočet'!P12:P240)</f>
        <v>0</v>
      </c>
      <c r="D21" s="76"/>
      <c r="E21" s="77"/>
      <c r="F21" s="21"/>
      <c r="G21" s="76"/>
      <c r="H21" s="77"/>
      <c r="I21" s="21"/>
      <c r="J21" s="8"/>
    </row>
    <row r="22" spans="1:10" ht="16.5" customHeight="1">
      <c r="A22" s="74" t="s">
        <v>449</v>
      </c>
      <c r="B22" s="75"/>
      <c r="C22" s="20">
        <f>SUM(C14:C21)</f>
        <v>0</v>
      </c>
      <c r="D22" s="74" t="s">
        <v>462</v>
      </c>
      <c r="E22" s="75"/>
      <c r="F22" s="20">
        <f>SUM(F14:F21)</f>
        <v>0</v>
      </c>
      <c r="G22" s="74" t="s">
        <v>474</v>
      </c>
      <c r="H22" s="75"/>
      <c r="I22" s="20">
        <f>SUM(I14:I21)</f>
        <v>0</v>
      </c>
      <c r="J22" s="8"/>
    </row>
    <row r="23" spans="1:9" ht="12.75">
      <c r="A23" s="16"/>
      <c r="B23" s="16"/>
      <c r="C23" s="16"/>
      <c r="D23" s="2"/>
      <c r="E23" s="2"/>
      <c r="F23" s="2"/>
      <c r="G23" s="2"/>
      <c r="H23" s="2"/>
      <c r="I23" s="2"/>
    </row>
    <row r="24" spans="1:9" ht="15" customHeight="1">
      <c r="A24" s="72" t="s">
        <v>450</v>
      </c>
      <c r="B24" s="73"/>
      <c r="C24" s="22">
        <f>SUM('Stavební rozpočet'!Z12:Z240)</f>
        <v>0</v>
      </c>
      <c r="D24" s="19"/>
      <c r="E24" s="1"/>
      <c r="F24" s="1"/>
      <c r="G24" s="1"/>
      <c r="H24" s="1"/>
      <c r="I24" s="1"/>
    </row>
    <row r="25" spans="1:10" ht="15" customHeight="1">
      <c r="A25" s="72" t="s">
        <v>451</v>
      </c>
      <c r="B25" s="73"/>
      <c r="C25" s="22">
        <f>SUM('Stavební rozpočet'!AA12:AA240)</f>
        <v>0</v>
      </c>
      <c r="D25" s="72" t="s">
        <v>463</v>
      </c>
      <c r="E25" s="73"/>
      <c r="F25" s="22">
        <f>ROUND(C25*(15/100),2)</f>
        <v>0</v>
      </c>
      <c r="G25" s="72" t="s">
        <v>475</v>
      </c>
      <c r="H25" s="73"/>
      <c r="I25" s="22">
        <f>SUM(C24:C26)</f>
        <v>0</v>
      </c>
      <c r="J25" s="8"/>
    </row>
    <row r="26" spans="1:10" ht="15" customHeight="1">
      <c r="A26" s="72" t="s">
        <v>452</v>
      </c>
      <c r="B26" s="73"/>
      <c r="C26" s="22">
        <f>SUM('Stavební rozpočet'!AB12:AB240)+(F22+I22)</f>
        <v>0</v>
      </c>
      <c r="D26" s="72" t="s">
        <v>464</v>
      </c>
      <c r="E26" s="73"/>
      <c r="F26" s="22">
        <f>ROUND(C26*(21/100),2)</f>
        <v>0</v>
      </c>
      <c r="G26" s="72" t="s">
        <v>476</v>
      </c>
      <c r="H26" s="73"/>
      <c r="I26" s="22">
        <f>SUM(F25:F26)+I25</f>
        <v>0</v>
      </c>
      <c r="J26" s="8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10" ht="14.25" customHeight="1">
      <c r="A28" s="69" t="s">
        <v>453</v>
      </c>
      <c r="B28" s="70"/>
      <c r="C28" s="71"/>
      <c r="D28" s="69" t="s">
        <v>465</v>
      </c>
      <c r="E28" s="70"/>
      <c r="F28" s="71"/>
      <c r="G28" s="69" t="s">
        <v>477</v>
      </c>
      <c r="H28" s="70"/>
      <c r="I28" s="71"/>
      <c r="J28" s="9"/>
    </row>
    <row r="29" spans="1:10" ht="14.25" customHeight="1">
      <c r="A29" s="66"/>
      <c r="B29" s="67"/>
      <c r="C29" s="68"/>
      <c r="D29" s="66"/>
      <c r="E29" s="67"/>
      <c r="F29" s="68"/>
      <c r="G29" s="66"/>
      <c r="H29" s="67"/>
      <c r="I29" s="68"/>
      <c r="J29" s="9"/>
    </row>
    <row r="30" spans="1:10" ht="14.25" customHeight="1">
      <c r="A30" s="66"/>
      <c r="B30" s="67"/>
      <c r="C30" s="68"/>
      <c r="D30" s="66"/>
      <c r="E30" s="67"/>
      <c r="F30" s="68"/>
      <c r="G30" s="66"/>
      <c r="H30" s="67"/>
      <c r="I30" s="68"/>
      <c r="J30" s="9"/>
    </row>
    <row r="31" spans="1:10" ht="14.25" customHeight="1">
      <c r="A31" s="66"/>
      <c r="B31" s="67"/>
      <c r="C31" s="68"/>
      <c r="D31" s="66"/>
      <c r="E31" s="67"/>
      <c r="F31" s="68"/>
      <c r="G31" s="66"/>
      <c r="H31" s="67"/>
      <c r="I31" s="68"/>
      <c r="J31" s="9"/>
    </row>
    <row r="32" spans="1:10" ht="14.25" customHeight="1">
      <c r="A32" s="62" t="s">
        <v>454</v>
      </c>
      <c r="B32" s="63"/>
      <c r="C32" s="64"/>
      <c r="D32" s="62" t="s">
        <v>454</v>
      </c>
      <c r="E32" s="63"/>
      <c r="F32" s="64"/>
      <c r="G32" s="62" t="s">
        <v>454</v>
      </c>
      <c r="H32" s="63"/>
      <c r="I32" s="64"/>
      <c r="J32" s="9"/>
    </row>
    <row r="33" spans="1:9" ht="12.75">
      <c r="A33" s="65" t="s">
        <v>482</v>
      </c>
      <c r="B33" s="65"/>
      <c r="C33" s="65"/>
      <c r="D33" s="65"/>
      <c r="E33" s="65"/>
      <c r="F33" s="65"/>
      <c r="G33" s="65"/>
      <c r="H33" s="65"/>
      <c r="I33" s="65"/>
    </row>
    <row r="34" spans="1:9" ht="12.75">
      <c r="A34" s="60" t="s">
        <v>483</v>
      </c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1" t="s">
        <v>484</v>
      </c>
      <c r="B36" s="61"/>
      <c r="C36" s="61"/>
      <c r="D36" s="61"/>
      <c r="E36" s="61"/>
      <c r="F36" s="61"/>
      <c r="G36" s="61"/>
      <c r="H36" s="61"/>
      <c r="I36" s="61"/>
    </row>
  </sheetData>
  <sheetProtection/>
  <mergeCells count="81">
    <mergeCell ref="I2:I3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4:E14"/>
    <mergeCell ref="G14:H14"/>
    <mergeCell ref="D15:E15"/>
    <mergeCell ref="G15:H15"/>
    <mergeCell ref="A12:I12"/>
    <mergeCell ref="B13:C13"/>
    <mergeCell ref="E13:F13"/>
    <mergeCell ref="H13:I13"/>
    <mergeCell ref="D18:E18"/>
    <mergeCell ref="G18:H18"/>
    <mergeCell ref="D19:E19"/>
    <mergeCell ref="G19:H19"/>
    <mergeCell ref="D16:E16"/>
    <mergeCell ref="G16:H16"/>
    <mergeCell ref="D17:E17"/>
    <mergeCell ref="G17:H17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4:I35"/>
    <mergeCell ref="A36:I36"/>
    <mergeCell ref="A32:C32"/>
    <mergeCell ref="D32:F32"/>
    <mergeCell ref="G32:I32"/>
    <mergeCell ref="A33:I3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6"/>
  <sheetViews>
    <sheetView zoomScalePageLayoutView="0" workbookViewId="0" topLeftCell="A194">
      <selection activeCell="F235" activeCellId="21" sqref="F13:F15 F18:F25 F27 F30 F33 F36:F48 F51:F70 F73:F79 F83:F88 F90:F94 F96:F104 F106:F140 F142:F158 F160:F164 F166:F168 F171:F181 F183:F189 F192:F199 F201:F217 F219:F225 F227:F232 F235:F239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77.8515625" style="0" customWidth="1"/>
    <col min="4" max="4" width="6.421875" style="0" customWidth="1"/>
    <col min="5" max="5" width="10.8515625" style="0" customWidth="1"/>
    <col min="6" max="6" width="12.00390625" style="0" customWidth="1"/>
    <col min="7" max="8" width="14.28125" style="0" hidden="1" customWidth="1"/>
    <col min="9" max="9" width="14.28125" style="0" customWidth="1"/>
    <col min="10" max="10" width="11.7109375" style="0" hidden="1" customWidth="1"/>
    <col min="11" max="12" width="11.7109375" style="0" customWidth="1"/>
    <col min="13" max="13" width="11.57421875" style="0" customWidth="1"/>
    <col min="14" max="37" width="12.140625" style="0" hidden="1" customWidth="1"/>
  </cols>
  <sheetData>
    <row r="1" spans="1:12" ht="21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12.75" customHeight="1">
      <c r="A2" s="125" t="s">
        <v>1</v>
      </c>
      <c r="B2" s="126"/>
      <c r="C2" s="127" t="s">
        <v>219</v>
      </c>
      <c r="D2" s="129" t="s">
        <v>413</v>
      </c>
      <c r="E2" s="126"/>
      <c r="F2" s="129"/>
      <c r="G2" s="126"/>
      <c r="H2" s="130" t="s">
        <v>413</v>
      </c>
      <c r="I2" s="130" t="s">
        <v>418</v>
      </c>
      <c r="J2" s="126"/>
      <c r="K2" s="126"/>
      <c r="L2" s="131"/>
      <c r="M2" s="8"/>
    </row>
    <row r="3" spans="1:13" ht="12.75">
      <c r="A3" s="122"/>
      <c r="B3" s="112"/>
      <c r="C3" s="128"/>
      <c r="D3" s="112"/>
      <c r="E3" s="112"/>
      <c r="F3" s="112"/>
      <c r="G3" s="112"/>
      <c r="H3" s="112"/>
      <c r="I3" s="112"/>
      <c r="J3" s="112"/>
      <c r="K3" s="112"/>
      <c r="L3" s="113"/>
      <c r="M3" s="8"/>
    </row>
    <row r="4" spans="1:13" ht="12.75" customHeight="1">
      <c r="A4" s="118" t="s">
        <v>2</v>
      </c>
      <c r="B4" s="112"/>
      <c r="C4" s="110" t="s">
        <v>220</v>
      </c>
      <c r="D4" s="120" t="s">
        <v>414</v>
      </c>
      <c r="E4" s="112"/>
      <c r="F4" s="121"/>
      <c r="G4" s="112"/>
      <c r="H4" s="110" t="s">
        <v>414</v>
      </c>
      <c r="I4" s="110" t="s">
        <v>419</v>
      </c>
      <c r="J4" s="112"/>
      <c r="K4" s="112"/>
      <c r="L4" s="113"/>
      <c r="M4" s="8"/>
    </row>
    <row r="5" spans="1:13" ht="12.75">
      <c r="A5" s="12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8"/>
    </row>
    <row r="6" spans="1:13" ht="12.75" customHeight="1">
      <c r="A6" s="118" t="s">
        <v>3</v>
      </c>
      <c r="B6" s="112"/>
      <c r="C6" s="110" t="s">
        <v>221</v>
      </c>
      <c r="D6" s="120" t="s">
        <v>415</v>
      </c>
      <c r="E6" s="112"/>
      <c r="F6" s="112"/>
      <c r="G6" s="112"/>
      <c r="H6" s="110" t="s">
        <v>415</v>
      </c>
      <c r="I6" s="110" t="s">
        <v>420</v>
      </c>
      <c r="J6" s="112"/>
      <c r="K6" s="112"/>
      <c r="L6" s="113"/>
      <c r="M6" s="8"/>
    </row>
    <row r="7" spans="1:13" ht="12.75">
      <c r="A7" s="12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8"/>
    </row>
    <row r="8" spans="1:13" ht="12.75" customHeight="1">
      <c r="A8" s="118" t="s">
        <v>4</v>
      </c>
      <c r="B8" s="112"/>
      <c r="C8" s="110">
        <v>8016949</v>
      </c>
      <c r="D8" s="120" t="s">
        <v>416</v>
      </c>
      <c r="E8" s="112"/>
      <c r="F8" s="121">
        <v>40945</v>
      </c>
      <c r="G8" s="112"/>
      <c r="H8" s="110" t="s">
        <v>416</v>
      </c>
      <c r="I8" s="110" t="s">
        <v>421</v>
      </c>
      <c r="J8" s="112"/>
      <c r="K8" s="112"/>
      <c r="L8" s="113"/>
      <c r="M8" s="8"/>
    </row>
    <row r="9" spans="1:13" ht="12.75">
      <c r="A9" s="11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4"/>
      <c r="M9" s="8"/>
    </row>
    <row r="10" spans="1:13" ht="12.75">
      <c r="A10" s="24" t="s">
        <v>5</v>
      </c>
      <c r="B10" s="25" t="s">
        <v>112</v>
      </c>
      <c r="C10" s="25" t="s">
        <v>222</v>
      </c>
      <c r="D10" s="25" t="s">
        <v>397</v>
      </c>
      <c r="E10" s="26" t="s">
        <v>407</v>
      </c>
      <c r="F10" s="27" t="s">
        <v>408</v>
      </c>
      <c r="G10" s="115" t="s">
        <v>410</v>
      </c>
      <c r="H10" s="116"/>
      <c r="I10" s="117"/>
      <c r="J10" s="115" t="s">
        <v>423</v>
      </c>
      <c r="K10" s="117"/>
      <c r="L10" s="28" t="s">
        <v>424</v>
      </c>
      <c r="M10" s="9"/>
    </row>
    <row r="11" spans="1:24" ht="12.75">
      <c r="A11" s="29" t="s">
        <v>6</v>
      </c>
      <c r="B11" s="30" t="s">
        <v>6</v>
      </c>
      <c r="C11" s="31" t="s">
        <v>223</v>
      </c>
      <c r="D11" s="30" t="s">
        <v>6</v>
      </c>
      <c r="E11" s="30" t="s">
        <v>6</v>
      </c>
      <c r="F11" s="32" t="s">
        <v>409</v>
      </c>
      <c r="G11" s="33" t="s">
        <v>411</v>
      </c>
      <c r="H11" s="34" t="s">
        <v>417</v>
      </c>
      <c r="I11" s="35" t="s">
        <v>422</v>
      </c>
      <c r="J11" s="33" t="s">
        <v>408</v>
      </c>
      <c r="K11" s="35" t="s">
        <v>422</v>
      </c>
      <c r="L11" s="36" t="s">
        <v>425</v>
      </c>
      <c r="M11" s="9"/>
      <c r="P11" s="5" t="s">
        <v>429</v>
      </c>
      <c r="Q11" s="5" t="s">
        <v>430</v>
      </c>
      <c r="R11" s="5" t="s">
        <v>434</v>
      </c>
      <c r="S11" s="5" t="s">
        <v>435</v>
      </c>
      <c r="T11" s="5" t="s">
        <v>436</v>
      </c>
      <c r="U11" s="5" t="s">
        <v>437</v>
      </c>
      <c r="V11" s="5" t="s">
        <v>438</v>
      </c>
      <c r="W11" s="5" t="s">
        <v>439</v>
      </c>
      <c r="X11" s="5" t="s">
        <v>440</v>
      </c>
    </row>
    <row r="12" spans="1:37" ht="12.75">
      <c r="A12" s="37"/>
      <c r="B12" s="38" t="s">
        <v>7</v>
      </c>
      <c r="C12" s="108" t="s">
        <v>224</v>
      </c>
      <c r="D12" s="109"/>
      <c r="E12" s="109"/>
      <c r="F12" s="109"/>
      <c r="G12" s="39">
        <f>SUM(G13:G15)</f>
        <v>0</v>
      </c>
      <c r="H12" s="39">
        <f>SUM(H13:H15)</f>
        <v>0</v>
      </c>
      <c r="I12" s="39">
        <f>G12+H12</f>
        <v>0</v>
      </c>
      <c r="J12" s="40"/>
      <c r="K12" s="39">
        <f>SUM(K13:K15)</f>
        <v>0</v>
      </c>
      <c r="L12" s="40"/>
      <c r="P12" s="11">
        <f>IF(Q12="PR",I12,SUM(O13:O15))</f>
        <v>0</v>
      </c>
      <c r="Q12" s="5" t="s">
        <v>431</v>
      </c>
      <c r="R12" s="11">
        <f>IF(Q12="HS",G12,0)</f>
        <v>0</v>
      </c>
      <c r="S12" s="11">
        <f>IF(Q12="HS",H12-P12,0)</f>
        <v>0</v>
      </c>
      <c r="T12" s="11">
        <f>IF(Q12="PS",G12,0)</f>
        <v>0</v>
      </c>
      <c r="U12" s="11">
        <f>IF(Q12="PS",H12-P12,0)</f>
        <v>0</v>
      </c>
      <c r="V12" s="11">
        <f>IF(Q12="MP",G12,0)</f>
        <v>0</v>
      </c>
      <c r="W12" s="11">
        <f>IF(Q12="MP",H12-P12,0)</f>
        <v>0</v>
      </c>
      <c r="X12" s="11">
        <f>IF(Q12="OM",G12,0)</f>
        <v>0</v>
      </c>
      <c r="Y12" s="5"/>
      <c r="AI12" s="11">
        <f>SUM(Z13:Z15)</f>
        <v>0</v>
      </c>
      <c r="AJ12" s="11">
        <f>SUM(AA13:AA15)</f>
        <v>0</v>
      </c>
      <c r="AK12" s="11">
        <f>SUM(AB13:AB15)</f>
        <v>0</v>
      </c>
    </row>
    <row r="13" spans="1:32" ht="12.75">
      <c r="A13" s="41" t="s">
        <v>7</v>
      </c>
      <c r="B13" s="41" t="s">
        <v>113</v>
      </c>
      <c r="C13" s="41" t="s">
        <v>225</v>
      </c>
      <c r="D13" s="41" t="s">
        <v>398</v>
      </c>
      <c r="E13" s="42">
        <v>26.14</v>
      </c>
      <c r="F13" s="42"/>
      <c r="G13" s="42">
        <f>ROUND(E13*AE13,2)</f>
        <v>0</v>
      </c>
      <c r="H13" s="42">
        <f>I13-G13</f>
        <v>0</v>
      </c>
      <c r="I13" s="42">
        <f>ROUND(E13*F13,2)</f>
        <v>0</v>
      </c>
      <c r="J13" s="42">
        <v>0</v>
      </c>
      <c r="K13" s="42">
        <f>E13*J13</f>
        <v>0</v>
      </c>
      <c r="L13" s="43" t="s">
        <v>426</v>
      </c>
      <c r="N13" s="6" t="s">
        <v>7</v>
      </c>
      <c r="O13" s="3">
        <f>IF(N13="5",H13,0)</f>
        <v>0</v>
      </c>
      <c r="Z13" s="3">
        <f>IF(AD13=0,I13,0)</f>
        <v>0</v>
      </c>
      <c r="AA13" s="3">
        <f>IF(AD13=15,I13,0)</f>
        <v>0</v>
      </c>
      <c r="AB13" s="3">
        <f>IF(AD13=21,I13,0)</f>
        <v>0</v>
      </c>
      <c r="AD13" s="10">
        <v>21</v>
      </c>
      <c r="AE13" s="10">
        <f>F13*0</f>
        <v>0</v>
      </c>
      <c r="AF13" s="10">
        <f>F13*(1-0)</f>
        <v>0</v>
      </c>
    </row>
    <row r="14" spans="1:12" ht="12.75">
      <c r="A14" s="23"/>
      <c r="B14" s="23"/>
      <c r="C14" s="44" t="s">
        <v>226</v>
      </c>
      <c r="D14" s="23"/>
      <c r="E14" s="45">
        <v>26.14</v>
      </c>
      <c r="F14" s="23"/>
      <c r="G14" s="23"/>
      <c r="H14" s="23"/>
      <c r="I14" s="23"/>
      <c r="J14" s="23"/>
      <c r="K14" s="23"/>
      <c r="L14" s="23"/>
    </row>
    <row r="15" spans="1:32" ht="12.75">
      <c r="A15" s="41" t="s">
        <v>8</v>
      </c>
      <c r="B15" s="41" t="s">
        <v>114</v>
      </c>
      <c r="C15" s="41" t="s">
        <v>227</v>
      </c>
      <c r="D15" s="41" t="s">
        <v>398</v>
      </c>
      <c r="E15" s="42">
        <v>26.14</v>
      </c>
      <c r="F15" s="42"/>
      <c r="G15" s="42">
        <f>ROUND(E15*AE15,2)</f>
        <v>0</v>
      </c>
      <c r="H15" s="42">
        <f>I15-G15</f>
        <v>0</v>
      </c>
      <c r="I15" s="42">
        <f>ROUND(E15*F15,2)</f>
        <v>0</v>
      </c>
      <c r="J15" s="42">
        <v>0</v>
      </c>
      <c r="K15" s="42">
        <f>E15*J15</f>
        <v>0</v>
      </c>
      <c r="L15" s="43" t="s">
        <v>426</v>
      </c>
      <c r="N15" s="6" t="s">
        <v>7</v>
      </c>
      <c r="O15" s="3">
        <f>IF(N15="5",H15,0)</f>
        <v>0</v>
      </c>
      <c r="Z15" s="3">
        <f>IF(AD15=0,I15,0)</f>
        <v>0</v>
      </c>
      <c r="AA15" s="3">
        <f>IF(AD15=15,I15,0)</f>
        <v>0</v>
      </c>
      <c r="AB15" s="3">
        <f>IF(AD15=21,I15,0)</f>
        <v>0</v>
      </c>
      <c r="AD15" s="10">
        <v>21</v>
      </c>
      <c r="AE15" s="10">
        <f>F15*0</f>
        <v>0</v>
      </c>
      <c r="AF15" s="10">
        <f>F15*(1-0)</f>
        <v>0</v>
      </c>
    </row>
    <row r="16" spans="1:12" ht="12.75">
      <c r="A16" s="23"/>
      <c r="B16" s="23"/>
      <c r="C16" s="44" t="s">
        <v>228</v>
      </c>
      <c r="D16" s="23"/>
      <c r="E16" s="45">
        <v>26.14</v>
      </c>
      <c r="F16" s="23"/>
      <c r="G16" s="23"/>
      <c r="H16" s="23"/>
      <c r="I16" s="23"/>
      <c r="J16" s="23"/>
      <c r="K16" s="23"/>
      <c r="L16" s="23"/>
    </row>
    <row r="17" spans="1:37" ht="12.75">
      <c r="A17" s="46"/>
      <c r="B17" s="47" t="s">
        <v>17</v>
      </c>
      <c r="C17" s="103" t="s">
        <v>229</v>
      </c>
      <c r="D17" s="104"/>
      <c r="E17" s="104"/>
      <c r="F17" s="104"/>
      <c r="G17" s="48">
        <f>SUM(G18:G25)</f>
        <v>0</v>
      </c>
      <c r="H17" s="48">
        <f>SUM(H18:H25)</f>
        <v>0</v>
      </c>
      <c r="I17" s="48">
        <f>G17+H17</f>
        <v>0</v>
      </c>
      <c r="J17" s="49"/>
      <c r="K17" s="48">
        <f>SUM(K18:K25)</f>
        <v>20.61234</v>
      </c>
      <c r="L17" s="49"/>
      <c r="P17" s="11">
        <f>IF(Q17="PR",I17,SUM(O18:O25))</f>
        <v>0</v>
      </c>
      <c r="Q17" s="5" t="s">
        <v>431</v>
      </c>
      <c r="R17" s="11">
        <f>IF(Q17="HS",G17,0)</f>
        <v>0</v>
      </c>
      <c r="S17" s="11">
        <f>IF(Q17="HS",H17-P17,0)</f>
        <v>0</v>
      </c>
      <c r="T17" s="11">
        <f>IF(Q17="PS",G17,0)</f>
        <v>0</v>
      </c>
      <c r="U17" s="11">
        <f>IF(Q17="PS",H17-P17,0)</f>
        <v>0</v>
      </c>
      <c r="V17" s="11">
        <f>IF(Q17="MP",G17,0)</f>
        <v>0</v>
      </c>
      <c r="W17" s="11">
        <f>IF(Q17="MP",H17-P17,0)</f>
        <v>0</v>
      </c>
      <c r="X17" s="11">
        <f>IF(Q17="OM",G17,0)</f>
        <v>0</v>
      </c>
      <c r="Y17" s="5"/>
      <c r="AI17" s="11">
        <f>SUM(Z18:Z25)</f>
        <v>0</v>
      </c>
      <c r="AJ17" s="11">
        <f>SUM(AA18:AA25)</f>
        <v>0</v>
      </c>
      <c r="AK17" s="11">
        <f>SUM(AB18:AB25)</f>
        <v>0</v>
      </c>
    </row>
    <row r="18" spans="1:32" ht="12.75">
      <c r="A18" s="41" t="s">
        <v>9</v>
      </c>
      <c r="B18" s="41" t="s">
        <v>115</v>
      </c>
      <c r="C18" s="41" t="s">
        <v>230</v>
      </c>
      <c r="D18" s="41" t="s">
        <v>399</v>
      </c>
      <c r="E18" s="42">
        <v>54.53</v>
      </c>
      <c r="F18" s="42"/>
      <c r="G18" s="42">
        <f>ROUND(E18*AE18,2)</f>
        <v>0</v>
      </c>
      <c r="H18" s="42">
        <f>I18-G18</f>
        <v>0</v>
      </c>
      <c r="I18" s="42">
        <f>ROUND(E18*F18,2)</f>
        <v>0</v>
      </c>
      <c r="J18" s="42">
        <v>0.138</v>
      </c>
      <c r="K18" s="42">
        <f>E18*J18</f>
        <v>7.52514</v>
      </c>
      <c r="L18" s="43" t="s">
        <v>426</v>
      </c>
      <c r="N18" s="6" t="s">
        <v>7</v>
      </c>
      <c r="O18" s="3">
        <f>IF(N18="5",H18,0)</f>
        <v>0</v>
      </c>
      <c r="Z18" s="3">
        <f>IF(AD18=0,I18,0)</f>
        <v>0</v>
      </c>
      <c r="AA18" s="3">
        <f>IF(AD18=15,I18,0)</f>
        <v>0</v>
      </c>
      <c r="AB18" s="3">
        <f>IF(AD18=21,I18,0)</f>
        <v>0</v>
      </c>
      <c r="AD18" s="10">
        <v>21</v>
      </c>
      <c r="AE18" s="10">
        <f>F18*0</f>
        <v>0</v>
      </c>
      <c r="AF18" s="10">
        <f>F18*(1-0)</f>
        <v>0</v>
      </c>
    </row>
    <row r="19" spans="1:12" ht="12.75">
      <c r="A19" s="23"/>
      <c r="B19" s="23"/>
      <c r="C19" s="44" t="s">
        <v>231</v>
      </c>
      <c r="D19" s="23"/>
      <c r="E19" s="45">
        <v>54.53</v>
      </c>
      <c r="F19" s="23"/>
      <c r="G19" s="23"/>
      <c r="H19" s="23"/>
      <c r="I19" s="23"/>
      <c r="J19" s="23"/>
      <c r="K19" s="23"/>
      <c r="L19" s="23"/>
    </row>
    <row r="20" spans="1:32" ht="12.75">
      <c r="A20" s="41" t="s">
        <v>10</v>
      </c>
      <c r="B20" s="41" t="s">
        <v>116</v>
      </c>
      <c r="C20" s="41" t="s">
        <v>232</v>
      </c>
      <c r="D20" s="41" t="s">
        <v>399</v>
      </c>
      <c r="E20" s="42">
        <v>54.53</v>
      </c>
      <c r="F20" s="42"/>
      <c r="G20" s="42">
        <f>ROUND(E20*AE20,2)</f>
        <v>0</v>
      </c>
      <c r="H20" s="42">
        <f>I20-G20</f>
        <v>0</v>
      </c>
      <c r="I20" s="42">
        <f>ROUND(E20*F20,2)</f>
        <v>0</v>
      </c>
      <c r="J20" s="42">
        <v>0.24</v>
      </c>
      <c r="K20" s="42">
        <f>E20*J20</f>
        <v>13.0872</v>
      </c>
      <c r="L20" s="43" t="s">
        <v>426</v>
      </c>
      <c r="N20" s="6" t="s">
        <v>7</v>
      </c>
      <c r="O20" s="3">
        <f>IF(N20="5",H20,0)</f>
        <v>0</v>
      </c>
      <c r="Z20" s="3">
        <f>IF(AD20=0,I20,0)</f>
        <v>0</v>
      </c>
      <c r="AA20" s="3">
        <f>IF(AD20=15,I20,0)</f>
        <v>0</v>
      </c>
      <c r="AB20" s="3">
        <f>IF(AD20=21,I20,0)</f>
        <v>0</v>
      </c>
      <c r="AD20" s="10">
        <v>21</v>
      </c>
      <c r="AE20" s="10">
        <f>F20*0</f>
        <v>0</v>
      </c>
      <c r="AF20" s="10">
        <f>F20*(1-0)</f>
        <v>0</v>
      </c>
    </row>
    <row r="21" spans="1:12" ht="12.75">
      <c r="A21" s="23"/>
      <c r="B21" s="23"/>
      <c r="C21" s="44" t="s">
        <v>231</v>
      </c>
      <c r="D21" s="23"/>
      <c r="E21" s="45">
        <v>54.53</v>
      </c>
      <c r="F21" s="23"/>
      <c r="G21" s="23"/>
      <c r="H21" s="23"/>
      <c r="I21" s="23"/>
      <c r="J21" s="23"/>
      <c r="K21" s="23"/>
      <c r="L21" s="23"/>
    </row>
    <row r="22" spans="1:32" ht="12.75">
      <c r="A22" s="41" t="s">
        <v>11</v>
      </c>
      <c r="B22" s="41" t="s">
        <v>117</v>
      </c>
      <c r="C22" s="41" t="s">
        <v>233</v>
      </c>
      <c r="D22" s="41" t="s">
        <v>400</v>
      </c>
      <c r="E22" s="42">
        <v>13.0872</v>
      </c>
      <c r="F22" s="42"/>
      <c r="G22" s="42">
        <f>ROUND(E22*AE22,2)</f>
        <v>0</v>
      </c>
      <c r="H22" s="42">
        <f>I22-G22</f>
        <v>0</v>
      </c>
      <c r="I22" s="42">
        <f>ROUND(E22*F22,2)</f>
        <v>0</v>
      </c>
      <c r="J22" s="42">
        <v>0</v>
      </c>
      <c r="K22" s="42">
        <f>E22*J22</f>
        <v>0</v>
      </c>
      <c r="L22" s="43" t="s">
        <v>426</v>
      </c>
      <c r="N22" s="6" t="s">
        <v>11</v>
      </c>
      <c r="O22" s="3">
        <f>IF(N22="5",H22,0)</f>
        <v>0</v>
      </c>
      <c r="Z22" s="3">
        <f>IF(AD22=0,I22,0)</f>
        <v>0</v>
      </c>
      <c r="AA22" s="3">
        <f>IF(AD22=15,I22,0)</f>
        <v>0</v>
      </c>
      <c r="AB22" s="3">
        <f>IF(AD22=21,I22,0)</f>
        <v>0</v>
      </c>
      <c r="AD22" s="10">
        <v>21</v>
      </c>
      <c r="AE22" s="10">
        <f>F22*0</f>
        <v>0</v>
      </c>
      <c r="AF22" s="10">
        <f>F22*(1-0)</f>
        <v>0</v>
      </c>
    </row>
    <row r="23" spans="1:32" ht="12.75">
      <c r="A23" s="41" t="s">
        <v>12</v>
      </c>
      <c r="B23" s="41" t="s">
        <v>118</v>
      </c>
      <c r="C23" s="41" t="s">
        <v>234</v>
      </c>
      <c r="D23" s="41" t="s">
        <v>400</v>
      </c>
      <c r="E23" s="42">
        <v>13.0872</v>
      </c>
      <c r="F23" s="42"/>
      <c r="G23" s="42">
        <f>ROUND(E23*AE23,2)</f>
        <v>0</v>
      </c>
      <c r="H23" s="42">
        <f>I23-G23</f>
        <v>0</v>
      </c>
      <c r="I23" s="42">
        <f>ROUND(E23*F23,2)</f>
        <v>0</v>
      </c>
      <c r="J23" s="42">
        <v>0</v>
      </c>
      <c r="K23" s="42">
        <f>E23*J23</f>
        <v>0</v>
      </c>
      <c r="L23" s="43" t="s">
        <v>426</v>
      </c>
      <c r="N23" s="6" t="s">
        <v>11</v>
      </c>
      <c r="O23" s="3">
        <f>IF(N23="5",H23,0)</f>
        <v>0</v>
      </c>
      <c r="Z23" s="3">
        <f>IF(AD23=0,I23,0)</f>
        <v>0</v>
      </c>
      <c r="AA23" s="3">
        <f>IF(AD23=15,I23,0)</f>
        <v>0</v>
      </c>
      <c r="AB23" s="3">
        <f>IF(AD23=21,I23,0)</f>
        <v>0</v>
      </c>
      <c r="AD23" s="10">
        <v>21</v>
      </c>
      <c r="AE23" s="10">
        <f>F23*0</f>
        <v>0</v>
      </c>
      <c r="AF23" s="10">
        <f>F23*(1-0)</f>
        <v>0</v>
      </c>
    </row>
    <row r="24" spans="1:32" ht="12.75">
      <c r="A24" s="41" t="s">
        <v>13</v>
      </c>
      <c r="B24" s="41" t="s">
        <v>119</v>
      </c>
      <c r="C24" s="41" t="s">
        <v>235</v>
      </c>
      <c r="D24" s="41" t="s">
        <v>400</v>
      </c>
      <c r="E24" s="42">
        <v>13.0872</v>
      </c>
      <c r="F24" s="42"/>
      <c r="G24" s="42">
        <f>ROUND(E24*AE24,2)</f>
        <v>0</v>
      </c>
      <c r="H24" s="42">
        <f>I24-G24</f>
        <v>0</v>
      </c>
      <c r="I24" s="42">
        <f>ROUND(E24*F24,2)</f>
        <v>0</v>
      </c>
      <c r="J24" s="42">
        <v>0</v>
      </c>
      <c r="K24" s="42">
        <f>E24*J24</f>
        <v>0</v>
      </c>
      <c r="L24" s="43" t="s">
        <v>426</v>
      </c>
      <c r="N24" s="6" t="s">
        <v>11</v>
      </c>
      <c r="O24" s="3">
        <f>IF(N24="5",H24,0)</f>
        <v>0</v>
      </c>
      <c r="Z24" s="3">
        <f>IF(AD24=0,I24,0)</f>
        <v>0</v>
      </c>
      <c r="AA24" s="3">
        <f>IF(AD24=15,I24,0)</f>
        <v>0</v>
      </c>
      <c r="AB24" s="3">
        <f>IF(AD24=21,I24,0)</f>
        <v>0</v>
      </c>
      <c r="AD24" s="10">
        <v>21</v>
      </c>
      <c r="AE24" s="10">
        <f>F24*0</f>
        <v>0</v>
      </c>
      <c r="AF24" s="10">
        <f>F24*(1-0)</f>
        <v>0</v>
      </c>
    </row>
    <row r="25" spans="1:32" ht="12.75">
      <c r="A25" s="41" t="s">
        <v>14</v>
      </c>
      <c r="B25" s="41" t="s">
        <v>120</v>
      </c>
      <c r="C25" s="41" t="s">
        <v>236</v>
      </c>
      <c r="D25" s="41" t="s">
        <v>400</v>
      </c>
      <c r="E25" s="42">
        <v>13.0872</v>
      </c>
      <c r="F25" s="42"/>
      <c r="G25" s="42">
        <f>ROUND(E25*AE25,2)</f>
        <v>0</v>
      </c>
      <c r="H25" s="42">
        <f>I25-G25</f>
        <v>0</v>
      </c>
      <c r="I25" s="42">
        <f>ROUND(E25*F25,2)</f>
        <v>0</v>
      </c>
      <c r="J25" s="42">
        <v>0</v>
      </c>
      <c r="K25" s="42">
        <f>E25*J25</f>
        <v>0</v>
      </c>
      <c r="L25" s="43" t="s">
        <v>426</v>
      </c>
      <c r="N25" s="6" t="s">
        <v>11</v>
      </c>
      <c r="O25" s="3">
        <f>IF(N25="5",H25,0)</f>
        <v>0</v>
      </c>
      <c r="Z25" s="3">
        <f>IF(AD25=0,I25,0)</f>
        <v>0</v>
      </c>
      <c r="AA25" s="3">
        <f>IF(AD25=15,I25,0)</f>
        <v>0</v>
      </c>
      <c r="AB25" s="3">
        <f>IF(AD25=21,I25,0)</f>
        <v>0</v>
      </c>
      <c r="AD25" s="10">
        <v>21</v>
      </c>
      <c r="AE25" s="10">
        <f>F25*0</f>
        <v>0</v>
      </c>
      <c r="AF25" s="10">
        <f>F25*(1-0)</f>
        <v>0</v>
      </c>
    </row>
    <row r="26" spans="1:37" ht="12.75">
      <c r="A26" s="46"/>
      <c r="B26" s="47" t="s">
        <v>37</v>
      </c>
      <c r="C26" s="103" t="s">
        <v>237</v>
      </c>
      <c r="D26" s="104"/>
      <c r="E26" s="104"/>
      <c r="F26" s="104"/>
      <c r="G26" s="48">
        <f>SUM(G27:G27)</f>
        <v>0</v>
      </c>
      <c r="H26" s="48">
        <f>SUM(H27:H27)</f>
        <v>0</v>
      </c>
      <c r="I26" s="48">
        <f>G26+H26</f>
        <v>0</v>
      </c>
      <c r="J26" s="49"/>
      <c r="K26" s="48">
        <f>SUM(K27:K27)</f>
        <v>1.900788</v>
      </c>
      <c r="L26" s="49"/>
      <c r="P26" s="11">
        <f>IF(Q26="PR",I26,SUM(O27:O27))</f>
        <v>0</v>
      </c>
      <c r="Q26" s="5" t="s">
        <v>431</v>
      </c>
      <c r="R26" s="11">
        <f>IF(Q26="HS",G26,0)</f>
        <v>0</v>
      </c>
      <c r="S26" s="11">
        <f>IF(Q26="HS",H26-P26,0)</f>
        <v>0</v>
      </c>
      <c r="T26" s="11">
        <f>IF(Q26="PS",G26,0)</f>
        <v>0</v>
      </c>
      <c r="U26" s="11">
        <f>IF(Q26="PS",H26-P26,0)</f>
        <v>0</v>
      </c>
      <c r="V26" s="11">
        <f>IF(Q26="MP",G26,0)</f>
        <v>0</v>
      </c>
      <c r="W26" s="11">
        <f>IF(Q26="MP",H26-P26,0)</f>
        <v>0</v>
      </c>
      <c r="X26" s="11">
        <f>IF(Q26="OM",G26,0)</f>
        <v>0</v>
      </c>
      <c r="Y26" s="5"/>
      <c r="AI26" s="11">
        <f>SUM(Z27:Z27)</f>
        <v>0</v>
      </c>
      <c r="AJ26" s="11">
        <f>SUM(AA27:AA27)</f>
        <v>0</v>
      </c>
      <c r="AK26" s="11">
        <f>SUM(AB27:AB27)</f>
        <v>0</v>
      </c>
    </row>
    <row r="27" spans="1:32" ht="12.75">
      <c r="A27" s="41" t="s">
        <v>15</v>
      </c>
      <c r="B27" s="41" t="s">
        <v>121</v>
      </c>
      <c r="C27" s="41" t="s">
        <v>238</v>
      </c>
      <c r="D27" s="41" t="s">
        <v>401</v>
      </c>
      <c r="E27" s="42">
        <v>9.06</v>
      </c>
      <c r="F27" s="42"/>
      <c r="G27" s="42">
        <f>ROUND(E27*AE27,2)</f>
        <v>0</v>
      </c>
      <c r="H27" s="42">
        <f>I27-G27</f>
        <v>0</v>
      </c>
      <c r="I27" s="42">
        <f>ROUND(E27*F27,2)</f>
        <v>0</v>
      </c>
      <c r="J27" s="42">
        <v>0.2098</v>
      </c>
      <c r="K27" s="42">
        <f>E27*J27</f>
        <v>1.900788</v>
      </c>
      <c r="L27" s="43" t="s">
        <v>426</v>
      </c>
      <c r="N27" s="6" t="s">
        <v>7</v>
      </c>
      <c r="O27" s="3">
        <f>IF(N27="5",H27,0)</f>
        <v>0</v>
      </c>
      <c r="Z27" s="3">
        <f>IF(AD27=0,I27,0)</f>
        <v>0</v>
      </c>
      <c r="AA27" s="3">
        <f>IF(AD27=15,I27,0)</f>
        <v>0</v>
      </c>
      <c r="AB27" s="3">
        <f>IF(AD27=21,I27,0)</f>
        <v>0</v>
      </c>
      <c r="AD27" s="10">
        <v>21</v>
      </c>
      <c r="AE27" s="10">
        <f>F27*0.760412060301508</f>
        <v>0</v>
      </c>
      <c r="AF27" s="10">
        <f>F27*(1-0.760412060301508)</f>
        <v>0</v>
      </c>
    </row>
    <row r="28" spans="1:12" ht="12.75">
      <c r="A28" s="23"/>
      <c r="B28" s="23"/>
      <c r="C28" s="44" t="s">
        <v>239</v>
      </c>
      <c r="D28" s="23"/>
      <c r="E28" s="45">
        <v>9.06</v>
      </c>
      <c r="F28" s="23"/>
      <c r="G28" s="23"/>
      <c r="H28" s="23"/>
      <c r="I28" s="23"/>
      <c r="J28" s="23"/>
      <c r="K28" s="23"/>
      <c r="L28" s="23"/>
    </row>
    <row r="29" spans="1:37" ht="12.75">
      <c r="A29" s="46"/>
      <c r="B29" s="47" t="s">
        <v>62</v>
      </c>
      <c r="C29" s="103" t="s">
        <v>240</v>
      </c>
      <c r="D29" s="104"/>
      <c r="E29" s="104"/>
      <c r="F29" s="104"/>
      <c r="G29" s="48">
        <f>SUM(G30:G30)</f>
        <v>0</v>
      </c>
      <c r="H29" s="48">
        <f>SUM(H30:H30)</f>
        <v>0</v>
      </c>
      <c r="I29" s="48">
        <f>G29+H29</f>
        <v>0</v>
      </c>
      <c r="J29" s="49"/>
      <c r="K29" s="48">
        <f>SUM(K30:K30)</f>
        <v>18.000898300000003</v>
      </c>
      <c r="L29" s="49"/>
      <c r="P29" s="11">
        <f>IF(Q29="PR",I29,SUM(O30:O30))</f>
        <v>0</v>
      </c>
      <c r="Q29" s="5" t="s">
        <v>431</v>
      </c>
      <c r="R29" s="11">
        <f>IF(Q29="HS",G29,0)</f>
        <v>0</v>
      </c>
      <c r="S29" s="11">
        <f>IF(Q29="HS",H29-P29,0)</f>
        <v>0</v>
      </c>
      <c r="T29" s="11">
        <f>IF(Q29="PS",G29,0)</f>
        <v>0</v>
      </c>
      <c r="U29" s="11">
        <f>IF(Q29="PS",H29-P29,0)</f>
        <v>0</v>
      </c>
      <c r="V29" s="11">
        <f>IF(Q29="MP",G29,0)</f>
        <v>0</v>
      </c>
      <c r="W29" s="11">
        <f>IF(Q29="MP",H29-P29,0)</f>
        <v>0</v>
      </c>
      <c r="X29" s="11">
        <f>IF(Q29="OM",G29,0)</f>
        <v>0</v>
      </c>
      <c r="Y29" s="5"/>
      <c r="AI29" s="11">
        <f>SUM(Z30:Z30)</f>
        <v>0</v>
      </c>
      <c r="AJ29" s="11">
        <f>SUM(AA30:AA30)</f>
        <v>0</v>
      </c>
      <c r="AK29" s="11">
        <f>SUM(AB30:AB30)</f>
        <v>0</v>
      </c>
    </row>
    <row r="30" spans="1:32" ht="12.75">
      <c r="A30" s="41" t="s">
        <v>16</v>
      </c>
      <c r="B30" s="41" t="s">
        <v>122</v>
      </c>
      <c r="C30" s="41" t="s">
        <v>241</v>
      </c>
      <c r="D30" s="41" t="s">
        <v>399</v>
      </c>
      <c r="E30" s="42">
        <v>54.53</v>
      </c>
      <c r="F30" s="42"/>
      <c r="G30" s="42">
        <f>ROUND(E30*AE30,2)</f>
        <v>0</v>
      </c>
      <c r="H30" s="42">
        <f>I30-G30</f>
        <v>0</v>
      </c>
      <c r="I30" s="42">
        <f>ROUND(E30*F30,2)</f>
        <v>0</v>
      </c>
      <c r="J30" s="42">
        <v>0.33011</v>
      </c>
      <c r="K30" s="42">
        <f>E30*J30</f>
        <v>18.000898300000003</v>
      </c>
      <c r="L30" s="43" t="s">
        <v>426</v>
      </c>
      <c r="N30" s="6" t="s">
        <v>7</v>
      </c>
      <c r="O30" s="3">
        <f>IF(N30="5",H30,0)</f>
        <v>0</v>
      </c>
      <c r="Z30" s="3">
        <f>IF(AD30=0,I30,0)</f>
        <v>0</v>
      </c>
      <c r="AA30" s="3">
        <f>IF(AD30=15,I30,0)</f>
        <v>0</v>
      </c>
      <c r="AB30" s="3">
        <f>IF(AD30=21,I30,0)</f>
        <v>0</v>
      </c>
      <c r="AD30" s="10">
        <v>21</v>
      </c>
      <c r="AE30" s="10">
        <f>F30*0.846723410144627</f>
        <v>0</v>
      </c>
      <c r="AF30" s="10">
        <f>F30*(1-0.846723410144627)</f>
        <v>0</v>
      </c>
    </row>
    <row r="31" spans="1:12" ht="12.75">
      <c r="A31" s="23"/>
      <c r="B31" s="23"/>
      <c r="C31" s="44" t="s">
        <v>231</v>
      </c>
      <c r="D31" s="23"/>
      <c r="E31" s="45">
        <v>54.53</v>
      </c>
      <c r="F31" s="23"/>
      <c r="G31" s="23"/>
      <c r="H31" s="23"/>
      <c r="I31" s="23"/>
      <c r="J31" s="23"/>
      <c r="K31" s="23"/>
      <c r="L31" s="23"/>
    </row>
    <row r="32" spans="1:37" ht="12.75">
      <c r="A32" s="46"/>
      <c r="B32" s="47" t="s">
        <v>65</v>
      </c>
      <c r="C32" s="103" t="s">
        <v>242</v>
      </c>
      <c r="D32" s="104"/>
      <c r="E32" s="104"/>
      <c r="F32" s="104"/>
      <c r="G32" s="48">
        <f>SUM(G33:G33)</f>
        <v>0</v>
      </c>
      <c r="H32" s="48">
        <f>SUM(H33:H33)</f>
        <v>0</v>
      </c>
      <c r="I32" s="48">
        <f>G32+H32</f>
        <v>0</v>
      </c>
      <c r="J32" s="49"/>
      <c r="K32" s="48">
        <f>SUM(K33:K33)</f>
        <v>4.0897499999999996</v>
      </c>
      <c r="L32" s="49"/>
      <c r="P32" s="11">
        <f>IF(Q32="PR",I32,SUM(O33:O33))</f>
        <v>0</v>
      </c>
      <c r="Q32" s="5" t="s">
        <v>431</v>
      </c>
      <c r="R32" s="11">
        <f>IF(Q32="HS",G32,0)</f>
        <v>0</v>
      </c>
      <c r="S32" s="11">
        <f>IF(Q32="HS",H32-P32,0)</f>
        <v>0</v>
      </c>
      <c r="T32" s="11">
        <f>IF(Q32="PS",G32,0)</f>
        <v>0</v>
      </c>
      <c r="U32" s="11">
        <f>IF(Q32="PS",H32-P32,0)</f>
        <v>0</v>
      </c>
      <c r="V32" s="11">
        <f>IF(Q32="MP",G32,0)</f>
        <v>0</v>
      </c>
      <c r="W32" s="11">
        <f>IF(Q32="MP",H32-P32,0)</f>
        <v>0</v>
      </c>
      <c r="X32" s="11">
        <f>IF(Q32="OM",G32,0)</f>
        <v>0</v>
      </c>
      <c r="Y32" s="5"/>
      <c r="AI32" s="11">
        <f>SUM(Z33:Z33)</f>
        <v>0</v>
      </c>
      <c r="AJ32" s="11">
        <f>SUM(AA33:AA33)</f>
        <v>0</v>
      </c>
      <c r="AK32" s="11">
        <f>SUM(AB33:AB33)</f>
        <v>0</v>
      </c>
    </row>
    <row r="33" spans="1:32" ht="12.75">
      <c r="A33" s="41" t="s">
        <v>17</v>
      </c>
      <c r="B33" s="41" t="s">
        <v>123</v>
      </c>
      <c r="C33" s="41" t="s">
        <v>243</v>
      </c>
      <c r="D33" s="41" t="s">
        <v>399</v>
      </c>
      <c r="E33" s="42">
        <v>54.53</v>
      </c>
      <c r="F33" s="42"/>
      <c r="G33" s="42">
        <f>ROUND(E33*AE33,2)</f>
        <v>0</v>
      </c>
      <c r="H33" s="42">
        <f>I33-G33</f>
        <v>0</v>
      </c>
      <c r="I33" s="42">
        <f>ROUND(E33*F33,2)</f>
        <v>0</v>
      </c>
      <c r="J33" s="42">
        <v>0.075</v>
      </c>
      <c r="K33" s="42">
        <f>E33*J33</f>
        <v>4.0897499999999996</v>
      </c>
      <c r="L33" s="43" t="s">
        <v>426</v>
      </c>
      <c r="N33" s="6" t="s">
        <v>7</v>
      </c>
      <c r="O33" s="3">
        <f>IF(N33="5",H33,0)</f>
        <v>0</v>
      </c>
      <c r="Z33" s="3">
        <f>IF(AD33=0,I33,0)</f>
        <v>0</v>
      </c>
      <c r="AA33" s="3">
        <f>IF(AD33=15,I33,0)</f>
        <v>0</v>
      </c>
      <c r="AB33" s="3">
        <f>IF(AD33=21,I33,0)</f>
        <v>0</v>
      </c>
      <c r="AD33" s="10">
        <v>21</v>
      </c>
      <c r="AE33" s="10">
        <f>F33*0.171750714340876</f>
        <v>0</v>
      </c>
      <c r="AF33" s="10">
        <f>F33*(1-0.171750714340876)</f>
        <v>0</v>
      </c>
    </row>
    <row r="34" spans="1:12" ht="12.75">
      <c r="A34" s="23"/>
      <c r="B34" s="23"/>
      <c r="C34" s="44" t="s">
        <v>231</v>
      </c>
      <c r="D34" s="23"/>
      <c r="E34" s="45">
        <v>54.53</v>
      </c>
      <c r="F34" s="23"/>
      <c r="G34" s="23"/>
      <c r="H34" s="23"/>
      <c r="I34" s="23"/>
      <c r="J34" s="23"/>
      <c r="K34" s="23"/>
      <c r="L34" s="23"/>
    </row>
    <row r="35" spans="1:37" ht="12.75">
      <c r="A35" s="46"/>
      <c r="B35" s="47" t="s">
        <v>67</v>
      </c>
      <c r="C35" s="103" t="s">
        <v>244</v>
      </c>
      <c r="D35" s="104"/>
      <c r="E35" s="104"/>
      <c r="F35" s="104"/>
      <c r="G35" s="48">
        <f>SUM(G36:G48)</f>
        <v>0</v>
      </c>
      <c r="H35" s="48">
        <f>SUM(H36:H48)</f>
        <v>0</v>
      </c>
      <c r="I35" s="48">
        <f>G35+H35</f>
        <v>0</v>
      </c>
      <c r="J35" s="49"/>
      <c r="K35" s="48">
        <f>SUM(K36:K48)</f>
        <v>9.295537799999998</v>
      </c>
      <c r="L35" s="49"/>
      <c r="P35" s="11">
        <f>IF(Q35="PR",I35,SUM(O36:O48))</f>
        <v>0</v>
      </c>
      <c r="Q35" s="5" t="s">
        <v>431</v>
      </c>
      <c r="R35" s="11">
        <f>IF(Q35="HS",G35,0)</f>
        <v>0</v>
      </c>
      <c r="S35" s="11">
        <f>IF(Q35="HS",H35-P35,0)</f>
        <v>0</v>
      </c>
      <c r="T35" s="11">
        <f>IF(Q35="PS",G35,0)</f>
        <v>0</v>
      </c>
      <c r="U35" s="11">
        <f>IF(Q35="PS",H35-P35,0)</f>
        <v>0</v>
      </c>
      <c r="V35" s="11">
        <f>IF(Q35="MP",G35,0)</f>
        <v>0</v>
      </c>
      <c r="W35" s="11">
        <f>IF(Q35="MP",H35-P35,0)</f>
        <v>0</v>
      </c>
      <c r="X35" s="11">
        <f>IF(Q35="OM",G35,0)</f>
        <v>0</v>
      </c>
      <c r="Y35" s="5"/>
      <c r="AI35" s="11">
        <f>SUM(Z36:Z48)</f>
        <v>0</v>
      </c>
      <c r="AJ35" s="11">
        <f>SUM(AA36:AA48)</f>
        <v>0</v>
      </c>
      <c r="AK35" s="11">
        <f>SUM(AB36:AB48)</f>
        <v>0</v>
      </c>
    </row>
    <row r="36" spans="1:32" ht="12.75">
      <c r="A36" s="41" t="s">
        <v>18</v>
      </c>
      <c r="B36" s="41" t="s">
        <v>124</v>
      </c>
      <c r="C36" s="41" t="s">
        <v>245</v>
      </c>
      <c r="D36" s="41" t="s">
        <v>402</v>
      </c>
      <c r="E36" s="42">
        <v>846.69</v>
      </c>
      <c r="F36" s="42"/>
      <c r="G36" s="42">
        <f>ROUND(E36*AE36,2)</f>
        <v>0</v>
      </c>
      <c r="H36" s="42">
        <f>I36-G36</f>
        <v>0</v>
      </c>
      <c r="I36" s="42">
        <f>ROUND(E36*F36,2)</f>
        <v>0</v>
      </c>
      <c r="J36" s="42">
        <v>0.00372</v>
      </c>
      <c r="K36" s="42">
        <f>E36*J36</f>
        <v>3.1496868000000005</v>
      </c>
      <c r="L36" s="43" t="s">
        <v>426</v>
      </c>
      <c r="N36" s="6" t="s">
        <v>7</v>
      </c>
      <c r="O36" s="3">
        <f>IF(N36="5",H36,0)</f>
        <v>0</v>
      </c>
      <c r="Z36" s="3">
        <f>IF(AD36=0,I36,0)</f>
        <v>0</v>
      </c>
      <c r="AA36" s="3">
        <f>IF(AD36=15,I36,0)</f>
        <v>0</v>
      </c>
      <c r="AB36" s="3">
        <f>IF(AD36=21,I36,0)</f>
        <v>0</v>
      </c>
      <c r="AD36" s="10">
        <v>21</v>
      </c>
      <c r="AE36" s="10">
        <f>F36*0.0705202312138728</f>
        <v>0</v>
      </c>
      <c r="AF36" s="10">
        <f>F36*(1-0.0705202312138728)</f>
        <v>0</v>
      </c>
    </row>
    <row r="37" spans="1:12" ht="12.75">
      <c r="A37" s="23"/>
      <c r="B37" s="23"/>
      <c r="C37" s="44" t="s">
        <v>246</v>
      </c>
      <c r="D37" s="23"/>
      <c r="E37" s="45">
        <v>463.94</v>
      </c>
      <c r="F37" s="23"/>
      <c r="G37" s="23"/>
      <c r="H37" s="23"/>
      <c r="I37" s="23"/>
      <c r="J37" s="23"/>
      <c r="K37" s="23"/>
      <c r="L37" s="23"/>
    </row>
    <row r="38" spans="1:12" ht="12.75">
      <c r="A38" s="23"/>
      <c r="B38" s="23"/>
      <c r="C38" s="44" t="s">
        <v>247</v>
      </c>
      <c r="D38" s="23"/>
      <c r="E38" s="45">
        <v>160.39</v>
      </c>
      <c r="F38" s="23"/>
      <c r="G38" s="23"/>
      <c r="H38" s="23"/>
      <c r="I38" s="23"/>
      <c r="J38" s="23"/>
      <c r="K38" s="23"/>
      <c r="L38" s="23"/>
    </row>
    <row r="39" spans="1:12" ht="12.75">
      <c r="A39" s="23"/>
      <c r="B39" s="23"/>
      <c r="C39" s="44" t="s">
        <v>248</v>
      </c>
      <c r="D39" s="23"/>
      <c r="E39" s="45">
        <v>133.35</v>
      </c>
      <c r="F39" s="23"/>
      <c r="G39" s="23"/>
      <c r="H39" s="23"/>
      <c r="I39" s="23"/>
      <c r="J39" s="23"/>
      <c r="K39" s="23"/>
      <c r="L39" s="23"/>
    </row>
    <row r="40" spans="1:12" ht="12.75">
      <c r="A40" s="23"/>
      <c r="B40" s="23"/>
      <c r="C40" s="44" t="s">
        <v>249</v>
      </c>
      <c r="D40" s="23"/>
      <c r="E40" s="45">
        <v>39.7</v>
      </c>
      <c r="F40" s="23"/>
      <c r="G40" s="23"/>
      <c r="H40" s="23"/>
      <c r="I40" s="23"/>
      <c r="J40" s="23"/>
      <c r="K40" s="23"/>
      <c r="L40" s="23"/>
    </row>
    <row r="41" spans="1:12" ht="12.75">
      <c r="A41" s="23"/>
      <c r="B41" s="23"/>
      <c r="C41" s="44" t="s">
        <v>250</v>
      </c>
      <c r="D41" s="23"/>
      <c r="E41" s="45">
        <v>49.31</v>
      </c>
      <c r="F41" s="23"/>
      <c r="G41" s="23"/>
      <c r="H41" s="23"/>
      <c r="I41" s="23"/>
      <c r="J41" s="23"/>
      <c r="K41" s="23"/>
      <c r="L41" s="23"/>
    </row>
    <row r="42" spans="1:32" ht="12.75">
      <c r="A42" s="41" t="s">
        <v>19</v>
      </c>
      <c r="B42" s="41" t="s">
        <v>125</v>
      </c>
      <c r="C42" s="41" t="s">
        <v>251</v>
      </c>
      <c r="D42" s="41" t="s">
        <v>399</v>
      </c>
      <c r="E42" s="42">
        <v>626.3</v>
      </c>
      <c r="F42" s="42"/>
      <c r="G42" s="42">
        <f>ROUND(E42*AE42,2)</f>
        <v>0</v>
      </c>
      <c r="H42" s="42">
        <f>I42-G42</f>
        <v>0</v>
      </c>
      <c r="I42" s="42">
        <f>ROUND(E42*F42,2)</f>
        <v>0</v>
      </c>
      <c r="J42" s="42">
        <v>0.00034</v>
      </c>
      <c r="K42" s="42">
        <f>E42*J42</f>
        <v>0.212942</v>
      </c>
      <c r="L42" s="43" t="s">
        <v>426</v>
      </c>
      <c r="N42" s="6" t="s">
        <v>7</v>
      </c>
      <c r="O42" s="3">
        <f>IF(N42="5",H42,0)</f>
        <v>0</v>
      </c>
      <c r="Z42" s="3">
        <f>IF(AD42=0,I42,0)</f>
        <v>0</v>
      </c>
      <c r="AA42" s="3">
        <f>IF(AD42=15,I42,0)</f>
        <v>0</v>
      </c>
      <c r="AB42" s="3">
        <f>IF(AD42=21,I42,0)</f>
        <v>0</v>
      </c>
      <c r="AD42" s="10">
        <v>21</v>
      </c>
      <c r="AE42" s="10">
        <f>F42*0.16731884057971</f>
        <v>0</v>
      </c>
      <c r="AF42" s="10">
        <f>F42*(1-0.16731884057971)</f>
        <v>0</v>
      </c>
    </row>
    <row r="43" spans="1:12" ht="12.75">
      <c r="A43" s="23"/>
      <c r="B43" s="23"/>
      <c r="C43" s="44" t="s">
        <v>252</v>
      </c>
      <c r="D43" s="23"/>
      <c r="E43" s="45">
        <v>626.3</v>
      </c>
      <c r="F43" s="23"/>
      <c r="G43" s="23"/>
      <c r="H43" s="23"/>
      <c r="I43" s="23"/>
      <c r="J43" s="23"/>
      <c r="K43" s="23"/>
      <c r="L43" s="23"/>
    </row>
    <row r="44" spans="1:32" ht="12.75">
      <c r="A44" s="41" t="s">
        <v>20</v>
      </c>
      <c r="B44" s="41" t="s">
        <v>126</v>
      </c>
      <c r="C44" s="41" t="s">
        <v>253</v>
      </c>
      <c r="D44" s="41" t="s">
        <v>399</v>
      </c>
      <c r="E44" s="42">
        <v>626.3</v>
      </c>
      <c r="F44" s="42"/>
      <c r="G44" s="42">
        <f>ROUND(E44*AE44,2)</f>
        <v>0</v>
      </c>
      <c r="H44" s="42">
        <f>I44-G44</f>
        <v>0</v>
      </c>
      <c r="I44" s="42">
        <f>ROUND(E44*F44,2)</f>
        <v>0</v>
      </c>
      <c r="J44" s="42">
        <v>0.00465</v>
      </c>
      <c r="K44" s="42">
        <f>E44*J44</f>
        <v>2.9122949999999994</v>
      </c>
      <c r="L44" s="43" t="s">
        <v>426</v>
      </c>
      <c r="N44" s="6" t="s">
        <v>7</v>
      </c>
      <c r="O44" s="3">
        <f>IF(N44="5",H44,0)</f>
        <v>0</v>
      </c>
      <c r="Z44" s="3">
        <f>IF(AD44=0,I44,0)</f>
        <v>0</v>
      </c>
      <c r="AA44" s="3">
        <f>IF(AD44=15,I44,0)</f>
        <v>0</v>
      </c>
      <c r="AB44" s="3">
        <f>IF(AD44=21,I44,0)</f>
        <v>0</v>
      </c>
      <c r="AD44" s="10">
        <v>21</v>
      </c>
      <c r="AE44" s="10">
        <f>F44*0.277677057137844</f>
        <v>0</v>
      </c>
      <c r="AF44" s="10">
        <f>F44*(1-0.277677057137844)</f>
        <v>0</v>
      </c>
    </row>
    <row r="45" spans="1:12" ht="12.75">
      <c r="A45" s="23"/>
      <c r="B45" s="23"/>
      <c r="C45" s="44" t="s">
        <v>252</v>
      </c>
      <c r="D45" s="23"/>
      <c r="E45" s="45">
        <v>626.3</v>
      </c>
      <c r="F45" s="23"/>
      <c r="G45" s="23"/>
      <c r="H45" s="23"/>
      <c r="I45" s="23"/>
      <c r="J45" s="23"/>
      <c r="K45" s="23"/>
      <c r="L45" s="23"/>
    </row>
    <row r="46" spans="1:32" ht="12.75">
      <c r="A46" s="41" t="s">
        <v>21</v>
      </c>
      <c r="B46" s="41" t="s">
        <v>127</v>
      </c>
      <c r="C46" s="41" t="s">
        <v>254</v>
      </c>
      <c r="D46" s="41" t="s">
        <v>399</v>
      </c>
      <c r="E46" s="42">
        <v>626.3</v>
      </c>
      <c r="F46" s="42"/>
      <c r="G46" s="42">
        <f>ROUND(E46*AE46,2)</f>
        <v>0</v>
      </c>
      <c r="H46" s="42">
        <f>I46-G46</f>
        <v>0</v>
      </c>
      <c r="I46" s="42">
        <f>ROUND(E46*F46,2)</f>
        <v>0</v>
      </c>
      <c r="J46" s="42">
        <v>0.00407</v>
      </c>
      <c r="K46" s="42">
        <f>E46*J46</f>
        <v>2.549041</v>
      </c>
      <c r="L46" s="43" t="s">
        <v>426</v>
      </c>
      <c r="N46" s="6" t="s">
        <v>7</v>
      </c>
      <c r="O46" s="3">
        <f>IF(N46="5",H46,0)</f>
        <v>0</v>
      </c>
      <c r="Z46" s="3">
        <f>IF(AD46=0,I46,0)</f>
        <v>0</v>
      </c>
      <c r="AA46" s="3">
        <f>IF(AD46=15,I46,0)</f>
        <v>0</v>
      </c>
      <c r="AB46" s="3">
        <f>IF(AD46=21,I46,0)</f>
        <v>0</v>
      </c>
      <c r="AD46" s="10">
        <v>21</v>
      </c>
      <c r="AE46" s="10">
        <f>F46*0.183378440821176</f>
        <v>0</v>
      </c>
      <c r="AF46" s="10">
        <f>F46*(1-0.183378440821176)</f>
        <v>0</v>
      </c>
    </row>
    <row r="47" spans="1:12" ht="12.75">
      <c r="A47" s="23"/>
      <c r="B47" s="23"/>
      <c r="C47" s="44" t="s">
        <v>252</v>
      </c>
      <c r="D47" s="23"/>
      <c r="E47" s="45">
        <v>626.3</v>
      </c>
      <c r="F47" s="23"/>
      <c r="G47" s="23"/>
      <c r="H47" s="23"/>
      <c r="I47" s="23"/>
      <c r="J47" s="23"/>
      <c r="K47" s="23"/>
      <c r="L47" s="23"/>
    </row>
    <row r="48" spans="1:32" ht="12.75">
      <c r="A48" s="41" t="s">
        <v>22</v>
      </c>
      <c r="B48" s="41" t="s">
        <v>128</v>
      </c>
      <c r="C48" s="41" t="s">
        <v>255</v>
      </c>
      <c r="D48" s="41" t="s">
        <v>399</v>
      </c>
      <c r="E48" s="42">
        <v>9.06</v>
      </c>
      <c r="F48" s="42"/>
      <c r="G48" s="42">
        <f>ROUND(E48*AE48,2)</f>
        <v>0</v>
      </c>
      <c r="H48" s="42">
        <f>I48-G48</f>
        <v>0</v>
      </c>
      <c r="I48" s="42">
        <f>ROUND(E48*F48,2)</f>
        <v>0</v>
      </c>
      <c r="J48" s="42">
        <v>0.05205</v>
      </c>
      <c r="K48" s="42">
        <f>E48*J48</f>
        <v>0.471573</v>
      </c>
      <c r="L48" s="43" t="s">
        <v>426</v>
      </c>
      <c r="N48" s="6" t="s">
        <v>9</v>
      </c>
      <c r="O48" s="3">
        <f>IF(N48="5",H48,0)</f>
        <v>0</v>
      </c>
      <c r="Z48" s="3">
        <f>IF(AD48=0,I48,0)</f>
        <v>0</v>
      </c>
      <c r="AA48" s="3">
        <f>IF(AD48=15,I48,0)</f>
        <v>0</v>
      </c>
      <c r="AB48" s="3">
        <f>IF(AD48=21,I48,0)</f>
        <v>0</v>
      </c>
      <c r="AD48" s="10">
        <v>21</v>
      </c>
      <c r="AE48" s="10">
        <f>F48*0.183045005202914</f>
        <v>0</v>
      </c>
      <c r="AF48" s="10">
        <f>F48*(1-0.183045005202914)</f>
        <v>0</v>
      </c>
    </row>
    <row r="49" spans="1:12" ht="12.75">
      <c r="A49" s="23"/>
      <c r="B49" s="23"/>
      <c r="C49" s="44" t="s">
        <v>239</v>
      </c>
      <c r="D49" s="23"/>
      <c r="E49" s="45">
        <v>9.06</v>
      </c>
      <c r="F49" s="23"/>
      <c r="G49" s="23"/>
      <c r="H49" s="23"/>
      <c r="I49" s="23"/>
      <c r="J49" s="23"/>
      <c r="K49" s="23"/>
      <c r="L49" s="23"/>
    </row>
    <row r="50" spans="1:37" ht="12.75">
      <c r="A50" s="46"/>
      <c r="B50" s="47" t="s">
        <v>68</v>
      </c>
      <c r="C50" s="103" t="s">
        <v>256</v>
      </c>
      <c r="D50" s="104"/>
      <c r="E50" s="104"/>
      <c r="F50" s="104"/>
      <c r="G50" s="48">
        <f>SUM(G51:G69)</f>
        <v>0</v>
      </c>
      <c r="H50" s="48">
        <f>SUM(H51:H69)</f>
        <v>0</v>
      </c>
      <c r="I50" s="48">
        <f>G50+H50</f>
        <v>0</v>
      </c>
      <c r="J50" s="49"/>
      <c r="K50" s="48">
        <f>SUM(K51:K69)</f>
        <v>45.9516002</v>
      </c>
      <c r="L50" s="49"/>
      <c r="P50" s="11">
        <f>IF(Q50="PR",I50,SUM(O51:O69))</f>
        <v>0</v>
      </c>
      <c r="Q50" s="5" t="s">
        <v>431</v>
      </c>
      <c r="R50" s="11">
        <f>IF(Q50="HS",G50,0)</f>
        <v>0</v>
      </c>
      <c r="S50" s="11">
        <f>IF(Q50="HS",H50-P50,0)</f>
        <v>0</v>
      </c>
      <c r="T50" s="11">
        <f>IF(Q50="PS",G50,0)</f>
        <v>0</v>
      </c>
      <c r="U50" s="11">
        <f>IF(Q50="PS",H50-P50,0)</f>
        <v>0</v>
      </c>
      <c r="V50" s="11">
        <f>IF(Q50="MP",G50,0)</f>
        <v>0</v>
      </c>
      <c r="W50" s="11">
        <f>IF(Q50="MP",H50-P50,0)</f>
        <v>0</v>
      </c>
      <c r="X50" s="11">
        <f>IF(Q50="OM",G50,0)</f>
        <v>0</v>
      </c>
      <c r="Y50" s="5"/>
      <c r="AI50" s="11">
        <f>SUM(Z51:Z69)</f>
        <v>0</v>
      </c>
      <c r="AJ50" s="11">
        <f>SUM(AA51:AA69)</f>
        <v>0</v>
      </c>
      <c r="AK50" s="11">
        <f>SUM(AB51:AB69)</f>
        <v>0</v>
      </c>
    </row>
    <row r="51" spans="1:32" ht="12.75">
      <c r="A51" s="41" t="s">
        <v>23</v>
      </c>
      <c r="B51" s="41" t="s">
        <v>129</v>
      </c>
      <c r="C51" s="41" t="s">
        <v>257</v>
      </c>
      <c r="D51" s="41" t="s">
        <v>399</v>
      </c>
      <c r="E51" s="42">
        <v>555.17</v>
      </c>
      <c r="F51" s="42"/>
      <c r="G51" s="42">
        <f>ROUND(E51*AE51,2)</f>
        <v>0</v>
      </c>
      <c r="H51" s="42">
        <f>I51-G51</f>
        <v>0</v>
      </c>
      <c r="I51" s="42">
        <f>ROUND(E51*F51,2)</f>
        <v>0</v>
      </c>
      <c r="J51" s="42">
        <v>0.0001</v>
      </c>
      <c r="K51" s="42">
        <f>E51*J51</f>
        <v>0.055517</v>
      </c>
      <c r="L51" s="43" t="s">
        <v>426</v>
      </c>
      <c r="N51" s="6" t="s">
        <v>7</v>
      </c>
      <c r="O51" s="3">
        <f>IF(N51="5",H51,0)</f>
        <v>0</v>
      </c>
      <c r="Z51" s="3">
        <f>IF(AD51=0,I51,0)</f>
        <v>0</v>
      </c>
      <c r="AA51" s="3">
        <f>IF(AD51=15,I51,0)</f>
        <v>0</v>
      </c>
      <c r="AB51" s="3">
        <f>IF(AD51=21,I51,0)</f>
        <v>0</v>
      </c>
      <c r="AD51" s="10">
        <v>21</v>
      </c>
      <c r="AE51" s="10">
        <f>F51*0.39520608009354</f>
        <v>0</v>
      </c>
      <c r="AF51" s="10">
        <f>F51*(1-0.39520608009354)</f>
        <v>0</v>
      </c>
    </row>
    <row r="52" spans="1:12" ht="12.75">
      <c r="A52" s="23"/>
      <c r="B52" s="23"/>
      <c r="C52" s="44" t="s">
        <v>258</v>
      </c>
      <c r="D52" s="23"/>
      <c r="E52" s="45">
        <v>316.3</v>
      </c>
      <c r="F52" s="23"/>
      <c r="G52" s="23"/>
      <c r="H52" s="23"/>
      <c r="I52" s="23"/>
      <c r="J52" s="23"/>
      <c r="K52" s="23"/>
      <c r="L52" s="23"/>
    </row>
    <row r="53" spans="1:12" ht="12.75">
      <c r="A53" s="23"/>
      <c r="B53" s="23"/>
      <c r="C53" s="44" t="s">
        <v>259</v>
      </c>
      <c r="D53" s="23"/>
      <c r="E53" s="45">
        <v>162.31</v>
      </c>
      <c r="F53" s="23"/>
      <c r="G53" s="23"/>
      <c r="H53" s="23"/>
      <c r="I53" s="23"/>
      <c r="J53" s="23"/>
      <c r="K53" s="23"/>
      <c r="L53" s="23"/>
    </row>
    <row r="54" spans="1:12" ht="12.75">
      <c r="A54" s="23"/>
      <c r="B54" s="23"/>
      <c r="C54" s="44" t="s">
        <v>260</v>
      </c>
      <c r="D54" s="23"/>
      <c r="E54" s="45">
        <v>17.57</v>
      </c>
      <c r="F54" s="23"/>
      <c r="G54" s="23"/>
      <c r="H54" s="23"/>
      <c r="I54" s="23"/>
      <c r="J54" s="23"/>
      <c r="K54" s="23"/>
      <c r="L54" s="23"/>
    </row>
    <row r="55" spans="1:12" ht="12.75">
      <c r="A55" s="23"/>
      <c r="B55" s="23"/>
      <c r="C55" s="44" t="s">
        <v>261</v>
      </c>
      <c r="D55" s="23"/>
      <c r="E55" s="45">
        <v>38.83</v>
      </c>
      <c r="F55" s="23"/>
      <c r="G55" s="23"/>
      <c r="H55" s="23"/>
      <c r="I55" s="23"/>
      <c r="J55" s="23"/>
      <c r="K55" s="23"/>
      <c r="L55" s="23"/>
    </row>
    <row r="56" spans="1:12" ht="12.75">
      <c r="A56" s="23"/>
      <c r="B56" s="23"/>
      <c r="C56" s="44" t="s">
        <v>262</v>
      </c>
      <c r="D56" s="23"/>
      <c r="E56" s="45">
        <v>20.16</v>
      </c>
      <c r="F56" s="23"/>
      <c r="G56" s="23"/>
      <c r="H56" s="23"/>
      <c r="I56" s="23"/>
      <c r="J56" s="23"/>
      <c r="K56" s="23"/>
      <c r="L56" s="23"/>
    </row>
    <row r="57" spans="1:32" ht="12.75">
      <c r="A57" s="41" t="s">
        <v>24</v>
      </c>
      <c r="B57" s="41" t="s">
        <v>130</v>
      </c>
      <c r="C57" s="41" t="s">
        <v>263</v>
      </c>
      <c r="D57" s="41" t="s">
        <v>399</v>
      </c>
      <c r="E57" s="42">
        <v>2325.44</v>
      </c>
      <c r="F57" s="42"/>
      <c r="G57" s="42">
        <f>ROUND(E57*AE57,2)</f>
        <v>0</v>
      </c>
      <c r="H57" s="42">
        <f>I57-G57</f>
        <v>0</v>
      </c>
      <c r="I57" s="42">
        <f>ROUND(E57*F57,2)</f>
        <v>0</v>
      </c>
      <c r="J57" s="42">
        <v>0</v>
      </c>
      <c r="K57" s="42">
        <f>E57*J57</f>
        <v>0</v>
      </c>
      <c r="L57" s="43" t="s">
        <v>426</v>
      </c>
      <c r="N57" s="6" t="s">
        <v>7</v>
      </c>
      <c r="O57" s="3">
        <f>IF(N57="5",H57,0)</f>
        <v>0</v>
      </c>
      <c r="Z57" s="3">
        <f>IF(AD57=0,I57,0)</f>
        <v>0</v>
      </c>
      <c r="AA57" s="3">
        <f>IF(AD57=15,I57,0)</f>
        <v>0</v>
      </c>
      <c r="AB57" s="3">
        <f>IF(AD57=21,I57,0)</f>
        <v>0</v>
      </c>
      <c r="AD57" s="10">
        <v>21</v>
      </c>
      <c r="AE57" s="10">
        <f>F57*0</f>
        <v>0</v>
      </c>
      <c r="AF57" s="10">
        <f>F57*(1-0)</f>
        <v>0</v>
      </c>
    </row>
    <row r="58" spans="1:12" ht="12.75">
      <c r="A58" s="23"/>
      <c r="B58" s="23"/>
      <c r="C58" s="44" t="s">
        <v>264</v>
      </c>
      <c r="D58" s="23"/>
      <c r="E58" s="45">
        <v>2325.44</v>
      </c>
      <c r="F58" s="23"/>
      <c r="G58" s="23"/>
      <c r="H58" s="23"/>
      <c r="I58" s="23"/>
      <c r="J58" s="23"/>
      <c r="K58" s="23"/>
      <c r="L58" s="23"/>
    </row>
    <row r="59" spans="1:32" ht="12.75">
      <c r="A59" s="41" t="s">
        <v>25</v>
      </c>
      <c r="B59" s="41" t="s">
        <v>131</v>
      </c>
      <c r="C59" s="41" t="s">
        <v>265</v>
      </c>
      <c r="D59" s="41" t="s">
        <v>399</v>
      </c>
      <c r="E59" s="42">
        <v>2227</v>
      </c>
      <c r="F59" s="42"/>
      <c r="G59" s="42">
        <f>ROUND(E59*AE59,2)</f>
        <v>0</v>
      </c>
      <c r="H59" s="42">
        <f>I59-G59</f>
        <v>0</v>
      </c>
      <c r="I59" s="42">
        <f>ROUND(E59*F59,2)</f>
        <v>0</v>
      </c>
      <c r="J59" s="42">
        <v>0.01365</v>
      </c>
      <c r="K59" s="42">
        <f>E59*J59</f>
        <v>30.39855</v>
      </c>
      <c r="L59" s="43" t="s">
        <v>426</v>
      </c>
      <c r="N59" s="6" t="s">
        <v>7</v>
      </c>
      <c r="O59" s="3">
        <f>IF(N59="5",H59,0)</f>
        <v>0</v>
      </c>
      <c r="Z59" s="3">
        <f>IF(AD59=0,I59,0)</f>
        <v>0</v>
      </c>
      <c r="AA59" s="3">
        <f>IF(AD59=15,I59,0)</f>
        <v>0</v>
      </c>
      <c r="AB59" s="3">
        <f>IF(AD59=21,I59,0)</f>
        <v>0</v>
      </c>
      <c r="AD59" s="10">
        <v>21</v>
      </c>
      <c r="AE59" s="10">
        <f>F59*0.495669641387032</f>
        <v>0</v>
      </c>
      <c r="AF59" s="10">
        <f>F59*(1-0.495669641387032)</f>
        <v>0</v>
      </c>
    </row>
    <row r="60" spans="1:12" ht="12.75">
      <c r="A60" s="23"/>
      <c r="B60" s="23"/>
      <c r="C60" s="44" t="s">
        <v>266</v>
      </c>
      <c r="D60" s="23"/>
      <c r="E60" s="45">
        <v>2227</v>
      </c>
      <c r="F60" s="23"/>
      <c r="G60" s="23"/>
      <c r="H60" s="23"/>
      <c r="I60" s="23"/>
      <c r="J60" s="23"/>
      <c r="K60" s="23"/>
      <c r="L60" s="23"/>
    </row>
    <row r="61" spans="1:32" ht="12.75">
      <c r="A61" s="41" t="s">
        <v>26</v>
      </c>
      <c r="B61" s="41" t="s">
        <v>132</v>
      </c>
      <c r="C61" s="41" t="s">
        <v>267</v>
      </c>
      <c r="D61" s="41" t="s">
        <v>399</v>
      </c>
      <c r="E61" s="42">
        <v>634</v>
      </c>
      <c r="F61" s="42"/>
      <c r="G61" s="42">
        <f>ROUND(E61*AE61,2)</f>
        <v>0</v>
      </c>
      <c r="H61" s="42">
        <f>I61-G61</f>
        <v>0</v>
      </c>
      <c r="I61" s="42">
        <f>ROUND(E61*F61,2)</f>
        <v>0</v>
      </c>
      <c r="J61" s="42">
        <v>0.02207</v>
      </c>
      <c r="K61" s="42">
        <f>E61*J61</f>
        <v>13.992379999999999</v>
      </c>
      <c r="L61" s="43" t="s">
        <v>426</v>
      </c>
      <c r="N61" s="6" t="s">
        <v>7</v>
      </c>
      <c r="O61" s="3">
        <f>IF(N61="5",H61,0)</f>
        <v>0</v>
      </c>
      <c r="Z61" s="3">
        <f>IF(AD61=0,I61,0)</f>
        <v>0</v>
      </c>
      <c r="AA61" s="3">
        <f>IF(AD61=15,I61,0)</f>
        <v>0</v>
      </c>
      <c r="AB61" s="3">
        <f>IF(AD61=21,I61,0)</f>
        <v>0</v>
      </c>
      <c r="AD61" s="10">
        <v>21</v>
      </c>
      <c r="AE61" s="10">
        <f>F61*0.532861236185018</f>
        <v>0</v>
      </c>
      <c r="AF61" s="10">
        <f>F61*(1-0.532861236185018)</f>
        <v>0</v>
      </c>
    </row>
    <row r="62" spans="1:12" ht="12.75">
      <c r="A62" s="23"/>
      <c r="B62" s="23"/>
      <c r="C62" s="44" t="s">
        <v>268</v>
      </c>
      <c r="D62" s="23"/>
      <c r="E62" s="45">
        <v>634</v>
      </c>
      <c r="F62" s="23"/>
      <c r="G62" s="23"/>
      <c r="H62" s="23"/>
      <c r="I62" s="23"/>
      <c r="J62" s="23"/>
      <c r="K62" s="23"/>
      <c r="L62" s="23"/>
    </row>
    <row r="63" spans="1:32" ht="12.75">
      <c r="A63" s="41" t="s">
        <v>27</v>
      </c>
      <c r="B63" s="41" t="s">
        <v>133</v>
      </c>
      <c r="C63" s="41" t="s">
        <v>269</v>
      </c>
      <c r="D63" s="41" t="s">
        <v>399</v>
      </c>
      <c r="E63" s="42">
        <v>98.44</v>
      </c>
      <c r="F63" s="42"/>
      <c r="G63" s="42">
        <f>ROUND(E63*AE63,2)</f>
        <v>0</v>
      </c>
      <c r="H63" s="42">
        <f>I63-G63</f>
        <v>0</v>
      </c>
      <c r="I63" s="42">
        <f>ROUND(E63*F63,2)</f>
        <v>0</v>
      </c>
      <c r="J63" s="42">
        <v>0.01253</v>
      </c>
      <c r="K63" s="42">
        <f>E63*J63</f>
        <v>1.2334532</v>
      </c>
      <c r="L63" s="43" t="s">
        <v>426</v>
      </c>
      <c r="N63" s="6" t="s">
        <v>7</v>
      </c>
      <c r="O63" s="3">
        <f>IF(N63="5",H63,0)</f>
        <v>0</v>
      </c>
      <c r="Z63" s="3">
        <f>IF(AD63=0,I63,0)</f>
        <v>0</v>
      </c>
      <c r="AA63" s="3">
        <f>IF(AD63=15,I63,0)</f>
        <v>0</v>
      </c>
      <c r="AB63" s="3">
        <f>IF(AD63=21,I63,0)</f>
        <v>0</v>
      </c>
      <c r="AD63" s="10">
        <v>21</v>
      </c>
      <c r="AE63" s="10">
        <f>F63*0.615858695652174</f>
        <v>0</v>
      </c>
      <c r="AF63" s="10">
        <f>F63*(1-0.615858695652174)</f>
        <v>0</v>
      </c>
    </row>
    <row r="64" spans="1:12" ht="12.75">
      <c r="A64" s="23"/>
      <c r="B64" s="23"/>
      <c r="C64" s="44" t="s">
        <v>270</v>
      </c>
      <c r="D64" s="23"/>
      <c r="E64" s="45">
        <v>98.44</v>
      </c>
      <c r="F64" s="23"/>
      <c r="G64" s="23"/>
      <c r="H64" s="23"/>
      <c r="I64" s="23"/>
      <c r="J64" s="23"/>
      <c r="K64" s="23"/>
      <c r="L64" s="23"/>
    </row>
    <row r="65" spans="1:32" ht="12.75">
      <c r="A65" s="41" t="s">
        <v>28</v>
      </c>
      <c r="B65" s="41" t="s">
        <v>134</v>
      </c>
      <c r="C65" s="41" t="s">
        <v>271</v>
      </c>
      <c r="D65" s="41" t="s">
        <v>402</v>
      </c>
      <c r="E65" s="42">
        <v>3170</v>
      </c>
      <c r="F65" s="42"/>
      <c r="G65" s="42">
        <f>ROUND(E65*AE65,2)</f>
        <v>0</v>
      </c>
      <c r="H65" s="42">
        <f>I65-G65</f>
        <v>0</v>
      </c>
      <c r="I65" s="42">
        <f>ROUND(E65*F65,2)</f>
        <v>0</v>
      </c>
      <c r="J65" s="42">
        <v>0</v>
      </c>
      <c r="K65" s="42">
        <f>E65*J65</f>
        <v>0</v>
      </c>
      <c r="L65" s="43" t="s">
        <v>426</v>
      </c>
      <c r="N65" s="6" t="s">
        <v>7</v>
      </c>
      <c r="O65" s="3">
        <f>IF(N65="5",H65,0)</f>
        <v>0</v>
      </c>
      <c r="Z65" s="3">
        <f>IF(AD65=0,I65,0)</f>
        <v>0</v>
      </c>
      <c r="AA65" s="3">
        <f>IF(AD65=15,I65,0)</f>
        <v>0</v>
      </c>
      <c r="AB65" s="3">
        <f>IF(AD65=21,I65,0)</f>
        <v>0</v>
      </c>
      <c r="AD65" s="10">
        <v>21</v>
      </c>
      <c r="AE65" s="10">
        <f>F65*0.668960573476702</f>
        <v>0</v>
      </c>
      <c r="AF65" s="10">
        <f>F65*(1-0.668960573476702)</f>
        <v>0</v>
      </c>
    </row>
    <row r="66" spans="1:12" ht="12.75">
      <c r="A66" s="23"/>
      <c r="B66" s="23"/>
      <c r="C66" s="44" t="s">
        <v>272</v>
      </c>
      <c r="D66" s="23"/>
      <c r="E66" s="45">
        <v>3170</v>
      </c>
      <c r="F66" s="23"/>
      <c r="G66" s="23"/>
      <c r="H66" s="23"/>
      <c r="I66" s="23"/>
      <c r="J66" s="23"/>
      <c r="K66" s="23"/>
      <c r="L66" s="23"/>
    </row>
    <row r="67" spans="1:32" ht="12.75">
      <c r="A67" s="41" t="s">
        <v>29</v>
      </c>
      <c r="B67" s="41" t="s">
        <v>135</v>
      </c>
      <c r="C67" s="41" t="s">
        <v>273</v>
      </c>
      <c r="D67" s="41" t="s">
        <v>402</v>
      </c>
      <c r="E67" s="42">
        <v>3170</v>
      </c>
      <c r="F67" s="42"/>
      <c r="G67" s="42">
        <f>ROUND(E67*AE67,2)</f>
        <v>0</v>
      </c>
      <c r="H67" s="42">
        <f>I67-G67</f>
        <v>0</v>
      </c>
      <c r="I67" s="42">
        <f>ROUND(E67*F67,2)</f>
        <v>0</v>
      </c>
      <c r="J67" s="42">
        <v>0</v>
      </c>
      <c r="K67" s="42">
        <f>E67*J67</f>
        <v>0</v>
      </c>
      <c r="L67" s="43" t="s">
        <v>426</v>
      </c>
      <c r="N67" s="6" t="s">
        <v>7</v>
      </c>
      <c r="O67" s="3">
        <f>IF(N67="5",H67,0)</f>
        <v>0</v>
      </c>
      <c r="Z67" s="3">
        <f>IF(AD67=0,I67,0)</f>
        <v>0</v>
      </c>
      <c r="AA67" s="3">
        <f>IF(AD67=15,I67,0)</f>
        <v>0</v>
      </c>
      <c r="AB67" s="3">
        <f>IF(AD67=21,I67,0)</f>
        <v>0</v>
      </c>
      <c r="AD67" s="10">
        <v>21</v>
      </c>
      <c r="AE67" s="10">
        <f>F67*0</f>
        <v>0</v>
      </c>
      <c r="AF67" s="10">
        <f>F67*(1-0)</f>
        <v>0</v>
      </c>
    </row>
    <row r="68" spans="1:12" ht="12.75">
      <c r="A68" s="23"/>
      <c r="B68" s="23"/>
      <c r="C68" s="44" t="s">
        <v>272</v>
      </c>
      <c r="D68" s="23"/>
      <c r="E68" s="45">
        <v>3170</v>
      </c>
      <c r="F68" s="23"/>
      <c r="G68" s="23"/>
      <c r="H68" s="23"/>
      <c r="I68" s="23"/>
      <c r="J68" s="23"/>
      <c r="K68" s="23"/>
      <c r="L68" s="23"/>
    </row>
    <row r="69" spans="1:32" ht="12.75">
      <c r="A69" s="50" t="s">
        <v>30</v>
      </c>
      <c r="B69" s="50" t="s">
        <v>136</v>
      </c>
      <c r="C69" s="50" t="s">
        <v>274</v>
      </c>
      <c r="D69" s="50" t="s">
        <v>402</v>
      </c>
      <c r="E69" s="51">
        <v>3396.25</v>
      </c>
      <c r="F69" s="51"/>
      <c r="G69" s="51">
        <f>ROUND(E69*AE69,2)</f>
        <v>0</v>
      </c>
      <c r="H69" s="51">
        <f>I69-G69</f>
        <v>0</v>
      </c>
      <c r="I69" s="51">
        <f>ROUND(E69*F69,2)</f>
        <v>0</v>
      </c>
      <c r="J69" s="51">
        <v>8E-05</v>
      </c>
      <c r="K69" s="51">
        <f>E69*J69</f>
        <v>0.2717</v>
      </c>
      <c r="L69" s="52" t="s">
        <v>427</v>
      </c>
      <c r="N69" s="7" t="s">
        <v>428</v>
      </c>
      <c r="O69" s="4">
        <f>IF(N69="5",H69,0)</f>
        <v>0</v>
      </c>
      <c r="Z69" s="4">
        <f>IF(AD69=0,I69,0)</f>
        <v>0</v>
      </c>
      <c r="AA69" s="4">
        <f>IF(AD69=15,I69,0)</f>
        <v>0</v>
      </c>
      <c r="AB69" s="4">
        <f>IF(AD69=21,I69,0)</f>
        <v>0</v>
      </c>
      <c r="AD69" s="10">
        <v>21</v>
      </c>
      <c r="AE69" s="10">
        <f>F69*1</f>
        <v>0</v>
      </c>
      <c r="AF69" s="10">
        <f>F69*(1-1)</f>
        <v>0</v>
      </c>
    </row>
    <row r="70" spans="1:12" ht="12.75">
      <c r="A70" s="23"/>
      <c r="B70" s="23"/>
      <c r="C70" s="53" t="s">
        <v>272</v>
      </c>
      <c r="D70" s="23"/>
      <c r="E70" s="54">
        <v>3170</v>
      </c>
      <c r="F70" s="23"/>
      <c r="G70" s="23"/>
      <c r="H70" s="23"/>
      <c r="I70" s="23"/>
      <c r="J70" s="23"/>
      <c r="K70" s="23"/>
      <c r="L70" s="23"/>
    </row>
    <row r="71" spans="1:12" ht="12.75">
      <c r="A71" s="23"/>
      <c r="B71" s="23"/>
      <c r="C71" s="53" t="s">
        <v>275</v>
      </c>
      <c r="D71" s="23"/>
      <c r="E71" s="54">
        <v>226.25</v>
      </c>
      <c r="F71" s="23"/>
      <c r="G71" s="23"/>
      <c r="H71" s="23"/>
      <c r="I71" s="23"/>
      <c r="J71" s="23"/>
      <c r="K71" s="23"/>
      <c r="L71" s="23"/>
    </row>
    <row r="72" spans="1:37" ht="12.75">
      <c r="A72" s="46"/>
      <c r="B72" s="47" t="s">
        <v>70</v>
      </c>
      <c r="C72" s="103" t="s">
        <v>276</v>
      </c>
      <c r="D72" s="104"/>
      <c r="E72" s="104"/>
      <c r="F72" s="104"/>
      <c r="G72" s="48">
        <f>SUM(G73:G79)</f>
        <v>0</v>
      </c>
      <c r="H72" s="48">
        <f>SUM(H73:H79)</f>
        <v>0</v>
      </c>
      <c r="I72" s="48">
        <f>G72+H72</f>
        <v>0</v>
      </c>
      <c r="J72" s="49"/>
      <c r="K72" s="48">
        <f>SUM(K73:K79)</f>
        <v>15.4684092</v>
      </c>
      <c r="L72" s="49"/>
      <c r="P72" s="11">
        <f>IF(Q72="PR",I72,SUM(O73:O79))</f>
        <v>0</v>
      </c>
      <c r="Q72" s="5" t="s">
        <v>431</v>
      </c>
      <c r="R72" s="11">
        <f>IF(Q72="HS",G72,0)</f>
        <v>0</v>
      </c>
      <c r="S72" s="11">
        <f>IF(Q72="HS",H72-P72,0)</f>
        <v>0</v>
      </c>
      <c r="T72" s="11">
        <f>IF(Q72="PS",G72,0)</f>
        <v>0</v>
      </c>
      <c r="U72" s="11">
        <f>IF(Q72="PS",H72-P72,0)</f>
        <v>0</v>
      </c>
      <c r="V72" s="11">
        <f>IF(Q72="MP",G72,0)</f>
        <v>0</v>
      </c>
      <c r="W72" s="11">
        <f>IF(Q72="MP",H72-P72,0)</f>
        <v>0</v>
      </c>
      <c r="X72" s="11">
        <f>IF(Q72="OM",G72,0)</f>
        <v>0</v>
      </c>
      <c r="Y72" s="5"/>
      <c r="AI72" s="11">
        <f>SUM(Z73:Z79)</f>
        <v>0</v>
      </c>
      <c r="AJ72" s="11">
        <f>SUM(AA73:AA79)</f>
        <v>0</v>
      </c>
      <c r="AK72" s="11">
        <f>SUM(AB73:AB79)</f>
        <v>0</v>
      </c>
    </row>
    <row r="73" spans="1:32" ht="12.75">
      <c r="A73" s="41" t="s">
        <v>31</v>
      </c>
      <c r="B73" s="41" t="s">
        <v>137</v>
      </c>
      <c r="C73" s="41" t="s">
        <v>277</v>
      </c>
      <c r="D73" s="41" t="s">
        <v>403</v>
      </c>
      <c r="E73" s="42">
        <v>80</v>
      </c>
      <c r="F73" s="42"/>
      <c r="G73" s="42">
        <f>ROUND(E73*AE73,2)</f>
        <v>0</v>
      </c>
      <c r="H73" s="42">
        <f>I73-G73</f>
        <v>0</v>
      </c>
      <c r="I73" s="42">
        <f>ROUND(E73*F73,2)</f>
        <v>0</v>
      </c>
      <c r="J73" s="42">
        <v>0.0384</v>
      </c>
      <c r="K73" s="42">
        <f>E73*J73</f>
        <v>3.0719999999999996</v>
      </c>
      <c r="L73" s="43" t="s">
        <v>426</v>
      </c>
      <c r="N73" s="6" t="s">
        <v>7</v>
      </c>
      <c r="O73" s="3">
        <f>IF(N73="5",H73,0)</f>
        <v>0</v>
      </c>
      <c r="Z73" s="3">
        <f>IF(AD73=0,I73,0)</f>
        <v>0</v>
      </c>
      <c r="AA73" s="3">
        <f>IF(AD73=15,I73,0)</f>
        <v>0</v>
      </c>
      <c r="AB73" s="3">
        <f>IF(AD73=21,I73,0)</f>
        <v>0</v>
      </c>
      <c r="AD73" s="10">
        <v>21</v>
      </c>
      <c r="AE73" s="10">
        <f>F73*0.310933734939759</f>
        <v>0</v>
      </c>
      <c r="AF73" s="10">
        <f>F73*(1-0.310933734939759)</f>
        <v>0</v>
      </c>
    </row>
    <row r="74" spans="1:12" ht="12.75">
      <c r="A74" s="23"/>
      <c r="B74" s="23"/>
      <c r="C74" s="44" t="s">
        <v>86</v>
      </c>
      <c r="D74" s="23"/>
      <c r="E74" s="45">
        <v>80</v>
      </c>
      <c r="F74" s="23"/>
      <c r="G74" s="23"/>
      <c r="H74" s="23"/>
      <c r="I74" s="23"/>
      <c r="J74" s="23"/>
      <c r="K74" s="23"/>
      <c r="L74" s="23"/>
    </row>
    <row r="75" spans="1:32" ht="12.75">
      <c r="A75" s="41" t="s">
        <v>32</v>
      </c>
      <c r="B75" s="41" t="s">
        <v>138</v>
      </c>
      <c r="C75" s="41" t="s">
        <v>278</v>
      </c>
      <c r="D75" s="41" t="s">
        <v>403</v>
      </c>
      <c r="E75" s="42">
        <v>36</v>
      </c>
      <c r="F75" s="42"/>
      <c r="G75" s="42">
        <f>ROUND(E75*AE75,2)</f>
        <v>0</v>
      </c>
      <c r="H75" s="42">
        <f>I75-G75</f>
        <v>0</v>
      </c>
      <c r="I75" s="42">
        <f>ROUND(E75*F75,2)</f>
        <v>0</v>
      </c>
      <c r="J75" s="42">
        <v>0.05736</v>
      </c>
      <c r="K75" s="42">
        <f>E75*J75</f>
        <v>2.06496</v>
      </c>
      <c r="L75" s="43" t="s">
        <v>426</v>
      </c>
      <c r="N75" s="6" t="s">
        <v>7</v>
      </c>
      <c r="O75" s="3">
        <f>IF(N75="5",H75,0)</f>
        <v>0</v>
      </c>
      <c r="Z75" s="3">
        <f>IF(AD75=0,I75,0)</f>
        <v>0</v>
      </c>
      <c r="AA75" s="3">
        <f>IF(AD75=15,I75,0)</f>
        <v>0</v>
      </c>
      <c r="AB75" s="3">
        <f>IF(AD75=21,I75,0)</f>
        <v>0</v>
      </c>
      <c r="AD75" s="10">
        <v>21</v>
      </c>
      <c r="AE75" s="10">
        <f>F75*0.351916971916972</f>
        <v>0</v>
      </c>
      <c r="AF75" s="10">
        <f>F75*(1-0.351916971916972)</f>
        <v>0</v>
      </c>
    </row>
    <row r="76" spans="1:12" ht="12.75">
      <c r="A76" s="23"/>
      <c r="B76" s="23"/>
      <c r="C76" s="44" t="s">
        <v>42</v>
      </c>
      <c r="D76" s="23"/>
      <c r="E76" s="45">
        <v>36</v>
      </c>
      <c r="F76" s="23"/>
      <c r="G76" s="23"/>
      <c r="H76" s="23"/>
      <c r="I76" s="23"/>
      <c r="J76" s="23"/>
      <c r="K76" s="23"/>
      <c r="L76" s="23"/>
    </row>
    <row r="77" spans="1:32" ht="12.75">
      <c r="A77" s="41" t="s">
        <v>33</v>
      </c>
      <c r="B77" s="41" t="s">
        <v>139</v>
      </c>
      <c r="C77" s="41" t="s">
        <v>279</v>
      </c>
      <c r="D77" s="41" t="s">
        <v>403</v>
      </c>
      <c r="E77" s="42">
        <v>75</v>
      </c>
      <c r="F77" s="42"/>
      <c r="G77" s="42">
        <f>ROUND(E77*AE77,2)</f>
        <v>0</v>
      </c>
      <c r="H77" s="42">
        <f>I77-G77</f>
        <v>0</v>
      </c>
      <c r="I77" s="42">
        <f>ROUND(E77*F77,2)</f>
        <v>0</v>
      </c>
      <c r="J77" s="42">
        <v>0.0907</v>
      </c>
      <c r="K77" s="42">
        <f>E77*J77</f>
        <v>6.8025</v>
      </c>
      <c r="L77" s="43" t="s">
        <v>426</v>
      </c>
      <c r="N77" s="6" t="s">
        <v>7</v>
      </c>
      <c r="O77" s="3">
        <f>IF(N77="5",H77,0)</f>
        <v>0</v>
      </c>
      <c r="Z77" s="3">
        <f>IF(AD77=0,I77,0)</f>
        <v>0</v>
      </c>
      <c r="AA77" s="3">
        <f>IF(AD77=15,I77,0)</f>
        <v>0</v>
      </c>
      <c r="AB77" s="3">
        <f>IF(AD77=21,I77,0)</f>
        <v>0</v>
      </c>
      <c r="AD77" s="10">
        <v>21</v>
      </c>
      <c r="AE77" s="10">
        <f>F77*0.339948275862069</f>
        <v>0</v>
      </c>
      <c r="AF77" s="10">
        <f>F77*(1-0.339948275862069)</f>
        <v>0</v>
      </c>
    </row>
    <row r="78" spans="1:12" ht="12.75">
      <c r="A78" s="23"/>
      <c r="B78" s="23"/>
      <c r="C78" s="44" t="s">
        <v>81</v>
      </c>
      <c r="D78" s="23"/>
      <c r="E78" s="45">
        <v>75</v>
      </c>
      <c r="F78" s="23"/>
      <c r="G78" s="23"/>
      <c r="H78" s="23"/>
      <c r="I78" s="23"/>
      <c r="J78" s="23"/>
      <c r="K78" s="23"/>
      <c r="L78" s="23"/>
    </row>
    <row r="79" spans="1:32" ht="12.75">
      <c r="A79" s="41" t="s">
        <v>34</v>
      </c>
      <c r="B79" s="41" t="s">
        <v>140</v>
      </c>
      <c r="C79" s="41" t="s">
        <v>280</v>
      </c>
      <c r="D79" s="41" t="s">
        <v>402</v>
      </c>
      <c r="E79" s="42">
        <v>281.64</v>
      </c>
      <c r="F79" s="42"/>
      <c r="G79" s="42">
        <f>ROUND(E79*AE79,2)</f>
        <v>0</v>
      </c>
      <c r="H79" s="42">
        <f>I79-G79</f>
        <v>0</v>
      </c>
      <c r="I79" s="42">
        <f>ROUND(E79*F79,2)</f>
        <v>0</v>
      </c>
      <c r="J79" s="42">
        <v>0.01253</v>
      </c>
      <c r="K79" s="42">
        <f>E79*J79</f>
        <v>3.5289491999999996</v>
      </c>
      <c r="L79" s="43" t="s">
        <v>426</v>
      </c>
      <c r="N79" s="6" t="s">
        <v>7</v>
      </c>
      <c r="O79" s="3">
        <f>IF(N79="5",H79,0)</f>
        <v>0</v>
      </c>
      <c r="Z79" s="3">
        <f>IF(AD79=0,I79,0)</f>
        <v>0</v>
      </c>
      <c r="AA79" s="3">
        <f>IF(AD79=15,I79,0)</f>
        <v>0</v>
      </c>
      <c r="AB79" s="3">
        <f>IF(AD79=21,I79,0)</f>
        <v>0</v>
      </c>
      <c r="AD79" s="10">
        <v>21</v>
      </c>
      <c r="AE79" s="10">
        <f>F79*0.721704918032787</f>
        <v>0</v>
      </c>
      <c r="AF79" s="10">
        <f>F79*(1-0.721704918032787)</f>
        <v>0</v>
      </c>
    </row>
    <row r="80" spans="1:12" ht="12.75">
      <c r="A80" s="23"/>
      <c r="B80" s="23"/>
      <c r="C80" s="44" t="s">
        <v>281</v>
      </c>
      <c r="D80" s="23"/>
      <c r="E80" s="45">
        <v>217.19</v>
      </c>
      <c r="F80" s="23"/>
      <c r="G80" s="23"/>
      <c r="H80" s="23"/>
      <c r="I80" s="23"/>
      <c r="J80" s="23"/>
      <c r="K80" s="23"/>
      <c r="L80" s="23"/>
    </row>
    <row r="81" spans="1:12" ht="12.75">
      <c r="A81" s="23"/>
      <c r="B81" s="23"/>
      <c r="C81" s="44" t="s">
        <v>282</v>
      </c>
      <c r="D81" s="23"/>
      <c r="E81" s="45">
        <v>64.45</v>
      </c>
      <c r="F81" s="23"/>
      <c r="G81" s="23"/>
      <c r="H81" s="23"/>
      <c r="I81" s="23"/>
      <c r="J81" s="23"/>
      <c r="K81" s="23"/>
      <c r="L81" s="23"/>
    </row>
    <row r="82" spans="1:37" ht="12.75">
      <c r="A82" s="46"/>
      <c r="B82" s="47" t="s">
        <v>141</v>
      </c>
      <c r="C82" s="103" t="s">
        <v>283</v>
      </c>
      <c r="D82" s="104"/>
      <c r="E82" s="104"/>
      <c r="F82" s="104"/>
      <c r="G82" s="48">
        <f>SUM(G83:G88)</f>
        <v>0</v>
      </c>
      <c r="H82" s="48">
        <f>SUM(H83:H88)</f>
        <v>0</v>
      </c>
      <c r="I82" s="48">
        <f>G82+H82</f>
        <v>0</v>
      </c>
      <c r="J82" s="49"/>
      <c r="K82" s="48">
        <f>SUM(K83:K88)</f>
        <v>2.497579</v>
      </c>
      <c r="L82" s="49"/>
      <c r="P82" s="11">
        <f>IF(Q82="PR",I82,SUM(O83:O88))</f>
        <v>0</v>
      </c>
      <c r="Q82" s="5" t="s">
        <v>432</v>
      </c>
      <c r="R82" s="11">
        <f>IF(Q82="HS",G82,0)</f>
        <v>0</v>
      </c>
      <c r="S82" s="11">
        <f>IF(Q82="HS",H82-P82,0)</f>
        <v>0</v>
      </c>
      <c r="T82" s="11">
        <f>IF(Q82="PS",G82,0)</f>
        <v>0</v>
      </c>
      <c r="U82" s="11">
        <f>IF(Q82="PS",H82-P82,0)</f>
        <v>0</v>
      </c>
      <c r="V82" s="11">
        <f>IF(Q82="MP",G82,0)</f>
        <v>0</v>
      </c>
      <c r="W82" s="11">
        <f>IF(Q82="MP",H82-P82,0)</f>
        <v>0</v>
      </c>
      <c r="X82" s="11">
        <f>IF(Q82="OM",G82,0)</f>
        <v>0</v>
      </c>
      <c r="Y82" s="5"/>
      <c r="AI82" s="11">
        <f>SUM(Z83:Z88)</f>
        <v>0</v>
      </c>
      <c r="AJ82" s="11">
        <f>SUM(AA83:AA88)</f>
        <v>0</v>
      </c>
      <c r="AK82" s="11">
        <f>SUM(AB83:AB88)</f>
        <v>0</v>
      </c>
    </row>
    <row r="83" spans="1:32" ht="12.75">
      <c r="A83" s="41" t="s">
        <v>35</v>
      </c>
      <c r="B83" s="41" t="s">
        <v>142</v>
      </c>
      <c r="C83" s="41" t="s">
        <v>284</v>
      </c>
      <c r="D83" s="41" t="s">
        <v>399</v>
      </c>
      <c r="E83" s="42">
        <v>626.3</v>
      </c>
      <c r="F83" s="42"/>
      <c r="G83" s="42">
        <f>ROUND(E83*AE83,2)</f>
        <v>0</v>
      </c>
      <c r="H83" s="42">
        <f>I83-G83</f>
        <v>0</v>
      </c>
      <c r="I83" s="42">
        <f>ROUND(E83*F83,2)</f>
        <v>0</v>
      </c>
      <c r="J83" s="42">
        <v>0.00083</v>
      </c>
      <c r="K83" s="42">
        <f>E83*J83</f>
        <v>0.519829</v>
      </c>
      <c r="L83" s="43" t="s">
        <v>426</v>
      </c>
      <c r="N83" s="6" t="s">
        <v>7</v>
      </c>
      <c r="O83" s="3">
        <f>IF(N83="5",H83,0)</f>
        <v>0</v>
      </c>
      <c r="Z83" s="3">
        <f>IF(AD83=0,I83,0)</f>
        <v>0</v>
      </c>
      <c r="AA83" s="3">
        <f>IF(AD83=15,I83,0)</f>
        <v>0</v>
      </c>
      <c r="AB83" s="3">
        <f>IF(AD83=21,I83,0)</f>
        <v>0</v>
      </c>
      <c r="AD83" s="10">
        <v>21</v>
      </c>
      <c r="AE83" s="10">
        <f>F83*0.461729931549471</f>
        <v>0</v>
      </c>
      <c r="AF83" s="10">
        <f>F83*(1-0.461729931549471)</f>
        <v>0</v>
      </c>
    </row>
    <row r="84" spans="1:12" ht="12.75">
      <c r="A84" s="23"/>
      <c r="B84" s="23"/>
      <c r="C84" s="44" t="s">
        <v>252</v>
      </c>
      <c r="D84" s="23"/>
      <c r="E84" s="45">
        <v>626.3</v>
      </c>
      <c r="F84" s="23"/>
      <c r="G84" s="23"/>
      <c r="H84" s="23"/>
      <c r="I84" s="23"/>
      <c r="J84" s="23"/>
      <c r="K84" s="23"/>
      <c r="L84" s="23"/>
    </row>
    <row r="85" spans="1:32" ht="12.75">
      <c r="A85" s="50" t="s">
        <v>36</v>
      </c>
      <c r="B85" s="50" t="s">
        <v>143</v>
      </c>
      <c r="C85" s="50" t="s">
        <v>285</v>
      </c>
      <c r="D85" s="50" t="s">
        <v>398</v>
      </c>
      <c r="E85" s="51">
        <v>79.11</v>
      </c>
      <c r="F85" s="51"/>
      <c r="G85" s="51">
        <f>ROUND(E85*AE85,2)</f>
        <v>0</v>
      </c>
      <c r="H85" s="51">
        <f>I85-G85</f>
        <v>0</v>
      </c>
      <c r="I85" s="51">
        <f>ROUND(E85*F85,2)</f>
        <v>0</v>
      </c>
      <c r="J85" s="51">
        <v>0.025</v>
      </c>
      <c r="K85" s="51">
        <f>E85*J85</f>
        <v>1.9777500000000001</v>
      </c>
      <c r="L85" s="52" t="s">
        <v>427</v>
      </c>
      <c r="N85" s="7" t="s">
        <v>428</v>
      </c>
      <c r="O85" s="4">
        <f>IF(N85="5",H85,0)</f>
        <v>0</v>
      </c>
      <c r="Z85" s="4">
        <f>IF(AD85=0,I85,0)</f>
        <v>0</v>
      </c>
      <c r="AA85" s="4">
        <f>IF(AD85=15,I85,0)</f>
        <v>0</v>
      </c>
      <c r="AB85" s="4">
        <f>IF(AD85=21,I85,0)</f>
        <v>0</v>
      </c>
      <c r="AD85" s="10">
        <v>21</v>
      </c>
      <c r="AE85" s="10">
        <f>F85*1</f>
        <v>0</v>
      </c>
      <c r="AF85" s="10">
        <f>F85*(1-1)</f>
        <v>0</v>
      </c>
    </row>
    <row r="86" spans="1:12" ht="12.75">
      <c r="A86" s="23"/>
      <c r="B86" s="23"/>
      <c r="C86" s="53" t="s">
        <v>286</v>
      </c>
      <c r="D86" s="23"/>
      <c r="E86" s="54">
        <v>75.16</v>
      </c>
      <c r="F86" s="23"/>
      <c r="G86" s="23"/>
      <c r="H86" s="23"/>
      <c r="I86" s="23"/>
      <c r="J86" s="23"/>
      <c r="K86" s="23"/>
      <c r="L86" s="23"/>
    </row>
    <row r="87" spans="1:12" ht="12.75">
      <c r="A87" s="23"/>
      <c r="B87" s="23"/>
      <c r="C87" s="53" t="s">
        <v>287</v>
      </c>
      <c r="D87" s="23"/>
      <c r="E87" s="54">
        <v>3.95</v>
      </c>
      <c r="F87" s="23"/>
      <c r="G87" s="23"/>
      <c r="H87" s="23"/>
      <c r="I87" s="23"/>
      <c r="J87" s="23"/>
      <c r="K87" s="23"/>
      <c r="L87" s="23"/>
    </row>
    <row r="88" spans="1:32" ht="12.75">
      <c r="A88" s="41" t="s">
        <v>37</v>
      </c>
      <c r="B88" s="41" t="s">
        <v>144</v>
      </c>
      <c r="C88" s="41" t="s">
        <v>288</v>
      </c>
      <c r="D88" s="41" t="s">
        <v>400</v>
      </c>
      <c r="E88" s="42">
        <v>2.49758</v>
      </c>
      <c r="F88" s="42"/>
      <c r="G88" s="42">
        <f>ROUND(E88*AE88,2)</f>
        <v>0</v>
      </c>
      <c r="H88" s="42">
        <f>I88-G88</f>
        <v>0</v>
      </c>
      <c r="I88" s="42">
        <f>ROUND(E88*F88,2)</f>
        <v>0</v>
      </c>
      <c r="J88" s="42">
        <v>0</v>
      </c>
      <c r="K88" s="42">
        <f>E88*J88</f>
        <v>0</v>
      </c>
      <c r="L88" s="43" t="s">
        <v>426</v>
      </c>
      <c r="N88" s="6" t="s">
        <v>11</v>
      </c>
      <c r="O88" s="3">
        <f>IF(N88="5",H88,0)</f>
        <v>0</v>
      </c>
      <c r="Z88" s="3">
        <f>IF(AD88=0,I88,0)</f>
        <v>0</v>
      </c>
      <c r="AA88" s="3">
        <f>IF(AD88=15,I88,0)</f>
        <v>0</v>
      </c>
      <c r="AB88" s="3">
        <f>IF(AD88=21,I88,0)</f>
        <v>0</v>
      </c>
      <c r="AD88" s="10">
        <v>21</v>
      </c>
      <c r="AE88" s="10">
        <f>F88*0</f>
        <v>0</v>
      </c>
      <c r="AF88" s="10">
        <f>F88*(1-0)</f>
        <v>0</v>
      </c>
    </row>
    <row r="89" spans="1:37" ht="12.75">
      <c r="A89" s="46"/>
      <c r="B89" s="47" t="s">
        <v>145</v>
      </c>
      <c r="C89" s="103" t="s">
        <v>289</v>
      </c>
      <c r="D89" s="104"/>
      <c r="E89" s="104"/>
      <c r="F89" s="104"/>
      <c r="G89" s="48">
        <f>SUM(G90:G104)</f>
        <v>0</v>
      </c>
      <c r="H89" s="48">
        <f>SUM(H90:H104)</f>
        <v>0</v>
      </c>
      <c r="I89" s="48">
        <f>G89+H89</f>
        <v>0</v>
      </c>
      <c r="J89" s="49"/>
      <c r="K89" s="48">
        <f>SUM(K90:K104)</f>
        <v>6.000078199999999</v>
      </c>
      <c r="L89" s="49"/>
      <c r="P89" s="11">
        <f>IF(Q89="PR",I89,SUM(O90:O104))</f>
        <v>0</v>
      </c>
      <c r="Q89" s="5" t="s">
        <v>432</v>
      </c>
      <c r="R89" s="11">
        <f>IF(Q89="HS",G89,0)</f>
        <v>0</v>
      </c>
      <c r="S89" s="11">
        <f>IF(Q89="HS",H89-P89,0)</f>
        <v>0</v>
      </c>
      <c r="T89" s="11">
        <f>IF(Q89="PS",G89,0)</f>
        <v>0</v>
      </c>
      <c r="U89" s="11">
        <f>IF(Q89="PS",H89-P89,0)</f>
        <v>0</v>
      </c>
      <c r="V89" s="11">
        <f>IF(Q89="MP",G89,0)</f>
        <v>0</v>
      </c>
      <c r="W89" s="11">
        <f>IF(Q89="MP",H89-P89,0)</f>
        <v>0</v>
      </c>
      <c r="X89" s="11">
        <f>IF(Q89="OM",G89,0)</f>
        <v>0</v>
      </c>
      <c r="Y89" s="5"/>
      <c r="AI89" s="11">
        <f>SUM(Z90:Z104)</f>
        <v>0</v>
      </c>
      <c r="AJ89" s="11">
        <f>SUM(AA90:AA104)</f>
        <v>0</v>
      </c>
      <c r="AK89" s="11">
        <f>SUM(AB90:AB104)</f>
        <v>0</v>
      </c>
    </row>
    <row r="90" spans="1:32" ht="12.75">
      <c r="A90" s="41" t="s">
        <v>38</v>
      </c>
      <c r="B90" s="41" t="s">
        <v>146</v>
      </c>
      <c r="C90" s="41" t="s">
        <v>290</v>
      </c>
      <c r="D90" s="41" t="s">
        <v>402</v>
      </c>
      <c r="E90" s="42">
        <v>281.64</v>
      </c>
      <c r="F90" s="42"/>
      <c r="G90" s="42">
        <f>ROUND(E90*AE90,2)</f>
        <v>0</v>
      </c>
      <c r="H90" s="42">
        <f>I90-G90</f>
        <v>0</v>
      </c>
      <c r="I90" s="42">
        <f>ROUND(E90*F90,2)</f>
        <v>0</v>
      </c>
      <c r="J90" s="42">
        <v>0.00181</v>
      </c>
      <c r="K90" s="42">
        <f>E90*J90</f>
        <v>0.5097684</v>
      </c>
      <c r="L90" s="43" t="s">
        <v>426</v>
      </c>
      <c r="N90" s="6" t="s">
        <v>9</v>
      </c>
      <c r="O90" s="3">
        <f>IF(N90="5",H90,0)</f>
        <v>0</v>
      </c>
      <c r="Z90" s="3">
        <f>IF(AD90=0,I90,0)</f>
        <v>0</v>
      </c>
      <c r="AA90" s="3">
        <f>IF(AD90=15,I90,0)</f>
        <v>0</v>
      </c>
      <c r="AB90" s="3">
        <f>IF(AD90=21,I90,0)</f>
        <v>0</v>
      </c>
      <c r="AD90" s="10">
        <v>21</v>
      </c>
      <c r="AE90" s="10">
        <f>F90*0</f>
        <v>0</v>
      </c>
      <c r="AF90" s="10">
        <f>F90*(1-0)</f>
        <v>0</v>
      </c>
    </row>
    <row r="91" spans="1:12" ht="12.75">
      <c r="A91" s="23"/>
      <c r="B91" s="23"/>
      <c r="C91" s="44" t="s">
        <v>281</v>
      </c>
      <c r="D91" s="23"/>
      <c r="E91" s="45">
        <v>217.19</v>
      </c>
      <c r="F91" s="23"/>
      <c r="G91" s="23"/>
      <c r="H91" s="23"/>
      <c r="I91" s="23"/>
      <c r="J91" s="23"/>
      <c r="K91" s="23"/>
      <c r="L91" s="23"/>
    </row>
    <row r="92" spans="1:12" ht="12.75">
      <c r="A92" s="23"/>
      <c r="B92" s="23"/>
      <c r="C92" s="44" t="s">
        <v>282</v>
      </c>
      <c r="D92" s="23"/>
      <c r="E92" s="45">
        <v>64.45</v>
      </c>
      <c r="F92" s="23"/>
      <c r="G92" s="23"/>
      <c r="H92" s="23"/>
      <c r="I92" s="23"/>
      <c r="J92" s="23"/>
      <c r="K92" s="23"/>
      <c r="L92" s="23"/>
    </row>
    <row r="93" spans="1:32" ht="12.75">
      <c r="A93" s="41" t="s">
        <v>39</v>
      </c>
      <c r="B93" s="41" t="s">
        <v>147</v>
      </c>
      <c r="C93" s="41" t="s">
        <v>291</v>
      </c>
      <c r="D93" s="41" t="s">
        <v>402</v>
      </c>
      <c r="E93" s="42">
        <v>281.64</v>
      </c>
      <c r="F93" s="42"/>
      <c r="G93" s="42">
        <f>ROUND(E93*AE93,2)</f>
        <v>0</v>
      </c>
      <c r="H93" s="42">
        <f>I93-G93</f>
        <v>0</v>
      </c>
      <c r="I93" s="42">
        <f>ROUND(E93*F93,2)</f>
        <v>0</v>
      </c>
      <c r="J93" s="42">
        <v>0.00212</v>
      </c>
      <c r="K93" s="42">
        <f>E93*J93</f>
        <v>0.5970768</v>
      </c>
      <c r="L93" s="43" t="s">
        <v>426</v>
      </c>
      <c r="N93" s="6" t="s">
        <v>7</v>
      </c>
      <c r="O93" s="3">
        <f>IF(N93="5",H93,0)</f>
        <v>0</v>
      </c>
      <c r="Z93" s="3">
        <f>IF(AD93=0,I93,0)</f>
        <v>0</v>
      </c>
      <c r="AA93" s="3">
        <f>IF(AD93=15,I93,0)</f>
        <v>0</v>
      </c>
      <c r="AB93" s="3">
        <f>IF(AD93=21,I93,0)</f>
        <v>0</v>
      </c>
      <c r="AD93" s="10">
        <v>21</v>
      </c>
      <c r="AE93" s="10">
        <f>F93*0.184368928946782</f>
        <v>0</v>
      </c>
      <c r="AF93" s="10">
        <f>F93*(1-0.184368928946782)</f>
        <v>0</v>
      </c>
    </row>
    <row r="94" spans="1:12" ht="12.75">
      <c r="A94" s="23"/>
      <c r="B94" s="23"/>
      <c r="C94" s="44" t="s">
        <v>281</v>
      </c>
      <c r="D94" s="23"/>
      <c r="E94" s="45">
        <v>217.19</v>
      </c>
      <c r="F94" s="23"/>
      <c r="G94" s="23"/>
      <c r="H94" s="23"/>
      <c r="I94" s="23"/>
      <c r="J94" s="23"/>
      <c r="K94" s="23"/>
      <c r="L94" s="23"/>
    </row>
    <row r="95" spans="1:12" ht="12.75">
      <c r="A95" s="23"/>
      <c r="B95" s="23"/>
      <c r="C95" s="44" t="s">
        <v>282</v>
      </c>
      <c r="D95" s="23"/>
      <c r="E95" s="45">
        <v>64.45</v>
      </c>
      <c r="F95" s="23"/>
      <c r="G95" s="23"/>
      <c r="H95" s="23"/>
      <c r="I95" s="23"/>
      <c r="J95" s="23"/>
      <c r="K95" s="23"/>
      <c r="L95" s="23"/>
    </row>
    <row r="96" spans="1:32" ht="12.75">
      <c r="A96" s="50" t="s">
        <v>40</v>
      </c>
      <c r="B96" s="50" t="s">
        <v>148</v>
      </c>
      <c r="C96" s="50" t="s">
        <v>292</v>
      </c>
      <c r="D96" s="50" t="s">
        <v>402</v>
      </c>
      <c r="E96" s="51">
        <v>306.39</v>
      </c>
      <c r="F96" s="51"/>
      <c r="G96" s="51">
        <f>ROUND(E96*AE96,2)</f>
        <v>0</v>
      </c>
      <c r="H96" s="51">
        <f>I96-G96</f>
        <v>0</v>
      </c>
      <c r="I96" s="51">
        <f>ROUND(E96*F96,2)</f>
        <v>0</v>
      </c>
      <c r="J96" s="51">
        <v>0</v>
      </c>
      <c r="K96" s="51">
        <f>E96*J96</f>
        <v>0</v>
      </c>
      <c r="L96" s="52" t="s">
        <v>427</v>
      </c>
      <c r="N96" s="7" t="s">
        <v>428</v>
      </c>
      <c r="O96" s="4">
        <f>IF(N96="5",H96,0)</f>
        <v>0</v>
      </c>
      <c r="Z96" s="4">
        <f>IF(AD96=0,I96,0)</f>
        <v>0</v>
      </c>
      <c r="AA96" s="4">
        <f>IF(AD96=15,I96,0)</f>
        <v>0</v>
      </c>
      <c r="AB96" s="4">
        <f>IF(AD96=21,I96,0)</f>
        <v>0</v>
      </c>
      <c r="AD96" s="10">
        <v>21</v>
      </c>
      <c r="AE96" s="10">
        <f>F96*1</f>
        <v>0</v>
      </c>
      <c r="AF96" s="10">
        <f>F96*(1-1)</f>
        <v>0</v>
      </c>
    </row>
    <row r="97" spans="1:12" ht="12.75">
      <c r="A97" s="23"/>
      <c r="B97" s="23"/>
      <c r="C97" s="53" t="s">
        <v>293</v>
      </c>
      <c r="D97" s="23"/>
      <c r="E97" s="54">
        <v>281.64</v>
      </c>
      <c r="F97" s="23"/>
      <c r="G97" s="23"/>
      <c r="H97" s="23"/>
      <c r="I97" s="23"/>
      <c r="J97" s="23"/>
      <c r="K97" s="23"/>
      <c r="L97" s="23"/>
    </row>
    <row r="98" spans="1:12" ht="12.75">
      <c r="A98" s="23"/>
      <c r="B98" s="23"/>
      <c r="C98" s="53" t="s">
        <v>294</v>
      </c>
      <c r="D98" s="23"/>
      <c r="E98" s="54">
        <v>24.75</v>
      </c>
      <c r="F98" s="23"/>
      <c r="G98" s="23"/>
      <c r="H98" s="23"/>
      <c r="I98" s="23"/>
      <c r="J98" s="23"/>
      <c r="K98" s="23"/>
      <c r="L98" s="23"/>
    </row>
    <row r="99" spans="1:32" ht="12.75">
      <c r="A99" s="41" t="s">
        <v>41</v>
      </c>
      <c r="B99" s="41" t="s">
        <v>149</v>
      </c>
      <c r="C99" s="41" t="s">
        <v>295</v>
      </c>
      <c r="D99" s="41" t="s">
        <v>402</v>
      </c>
      <c r="E99" s="42">
        <v>420.02</v>
      </c>
      <c r="F99" s="42"/>
      <c r="G99" s="42">
        <f>ROUND(E99*AE99,2)</f>
        <v>0</v>
      </c>
      <c r="H99" s="42">
        <f>I99-G99</f>
        <v>0</v>
      </c>
      <c r="I99" s="42">
        <f>ROUND(E99*F99,2)</f>
        <v>0</v>
      </c>
      <c r="J99" s="42">
        <v>0.0083</v>
      </c>
      <c r="K99" s="42">
        <f>E99*J99</f>
        <v>3.486166</v>
      </c>
      <c r="L99" s="43" t="s">
        <v>426</v>
      </c>
      <c r="N99" s="6" t="s">
        <v>9</v>
      </c>
      <c r="O99" s="3">
        <f>IF(N99="5",H99,0)</f>
        <v>0</v>
      </c>
      <c r="Z99" s="3">
        <f>IF(AD99=0,I99,0)</f>
        <v>0</v>
      </c>
      <c r="AA99" s="3">
        <f>IF(AD99=15,I99,0)</f>
        <v>0</v>
      </c>
      <c r="AB99" s="3">
        <f>IF(AD99=21,I99,0)</f>
        <v>0</v>
      </c>
      <c r="AD99" s="10">
        <v>21</v>
      </c>
      <c r="AE99" s="10">
        <f>F99*0</f>
        <v>0</v>
      </c>
      <c r="AF99" s="10">
        <f>F99*(1-0)</f>
        <v>0</v>
      </c>
    </row>
    <row r="100" spans="1:12" ht="12.75">
      <c r="A100" s="23"/>
      <c r="B100" s="23"/>
      <c r="C100" s="44" t="s">
        <v>296</v>
      </c>
      <c r="D100" s="23"/>
      <c r="E100" s="45">
        <v>339.37</v>
      </c>
      <c r="F100" s="23"/>
      <c r="G100" s="23"/>
      <c r="H100" s="23"/>
      <c r="I100" s="23"/>
      <c r="J100" s="23"/>
      <c r="K100" s="23"/>
      <c r="L100" s="23"/>
    </row>
    <row r="101" spans="1:12" ht="12.75">
      <c r="A101" s="23"/>
      <c r="B101" s="23"/>
      <c r="C101" s="44" t="s">
        <v>297</v>
      </c>
      <c r="D101" s="23"/>
      <c r="E101" s="45">
        <v>80.65</v>
      </c>
      <c r="F101" s="23"/>
      <c r="G101" s="23"/>
      <c r="H101" s="23"/>
      <c r="I101" s="23"/>
      <c r="J101" s="23"/>
      <c r="K101" s="23"/>
      <c r="L101" s="23"/>
    </row>
    <row r="102" spans="1:32" ht="12.75">
      <c r="A102" s="41" t="s">
        <v>42</v>
      </c>
      <c r="B102" s="41" t="s">
        <v>150</v>
      </c>
      <c r="C102" s="41" t="s">
        <v>298</v>
      </c>
      <c r="D102" s="41" t="s">
        <v>402</v>
      </c>
      <c r="E102" s="42">
        <v>420.02</v>
      </c>
      <c r="F102" s="42"/>
      <c r="G102" s="42">
        <f>ROUND(E102*AE102,2)</f>
        <v>0</v>
      </c>
      <c r="H102" s="42">
        <f>I102-G102</f>
        <v>0</v>
      </c>
      <c r="I102" s="42">
        <f>ROUND(E102*F102,2)</f>
        <v>0</v>
      </c>
      <c r="J102" s="42">
        <v>0.00335</v>
      </c>
      <c r="K102" s="42">
        <f>E102*J102</f>
        <v>1.407067</v>
      </c>
      <c r="L102" s="43" t="s">
        <v>427</v>
      </c>
      <c r="N102" s="6" t="s">
        <v>7</v>
      </c>
      <c r="O102" s="3">
        <f>IF(N102="5",H102,0)</f>
        <v>0</v>
      </c>
      <c r="Z102" s="3">
        <f>IF(AD102=0,I102,0)</f>
        <v>0</v>
      </c>
      <c r="AA102" s="3">
        <f>IF(AD102=15,I102,0)</f>
        <v>0</v>
      </c>
      <c r="AB102" s="3">
        <f>IF(AD102=21,I102,0)</f>
        <v>0</v>
      </c>
      <c r="AD102" s="10">
        <v>21</v>
      </c>
      <c r="AE102" s="10">
        <f>F102*0.493164850686037</f>
        <v>0</v>
      </c>
      <c r="AF102" s="10">
        <f>F102*(1-0.493164850686037)</f>
        <v>0</v>
      </c>
    </row>
    <row r="103" spans="1:12" ht="12.75">
      <c r="A103" s="23"/>
      <c r="B103" s="23"/>
      <c r="C103" s="44" t="s">
        <v>299</v>
      </c>
      <c r="D103" s="23"/>
      <c r="E103" s="45">
        <v>420.02</v>
      </c>
      <c r="F103" s="23"/>
      <c r="G103" s="23"/>
      <c r="H103" s="23"/>
      <c r="I103" s="23"/>
      <c r="J103" s="23"/>
      <c r="K103" s="23"/>
      <c r="L103" s="23"/>
    </row>
    <row r="104" spans="1:32" ht="12.75">
      <c r="A104" s="41" t="s">
        <v>43</v>
      </c>
      <c r="B104" s="41" t="s">
        <v>151</v>
      </c>
      <c r="C104" s="41" t="s">
        <v>300</v>
      </c>
      <c r="D104" s="41" t="s">
        <v>400</v>
      </c>
      <c r="E104" s="42">
        <v>6.00007</v>
      </c>
      <c r="F104" s="42"/>
      <c r="G104" s="42">
        <f>ROUND(E104*AE104,2)</f>
        <v>0</v>
      </c>
      <c r="H104" s="42">
        <f>I104-G104</f>
        <v>0</v>
      </c>
      <c r="I104" s="42">
        <f>ROUND(E104*F104,2)</f>
        <v>0</v>
      </c>
      <c r="J104" s="42">
        <v>0</v>
      </c>
      <c r="K104" s="42">
        <f>E104*J104</f>
        <v>0</v>
      </c>
      <c r="L104" s="43" t="s">
        <v>426</v>
      </c>
      <c r="N104" s="6" t="s">
        <v>11</v>
      </c>
      <c r="O104" s="3">
        <f>IF(N104="5",H104,0)</f>
        <v>0</v>
      </c>
      <c r="Z104" s="3">
        <f>IF(AD104=0,I104,0)</f>
        <v>0</v>
      </c>
      <c r="AA104" s="3">
        <f>IF(AD104=15,I104,0)</f>
        <v>0</v>
      </c>
      <c r="AB104" s="3">
        <f>IF(AD104=21,I104,0)</f>
        <v>0</v>
      </c>
      <c r="AD104" s="10">
        <v>21</v>
      </c>
      <c r="AE104" s="10">
        <f>F104*0</f>
        <v>0</v>
      </c>
      <c r="AF104" s="10">
        <f>F104*(1-0)</f>
        <v>0</v>
      </c>
    </row>
    <row r="105" spans="1:37" ht="12.75">
      <c r="A105" s="46"/>
      <c r="B105" s="47" t="s">
        <v>152</v>
      </c>
      <c r="C105" s="103" t="s">
        <v>301</v>
      </c>
      <c r="D105" s="104"/>
      <c r="E105" s="104"/>
      <c r="F105" s="104"/>
      <c r="G105" s="48">
        <f>SUM(G106:G158)</f>
        <v>0</v>
      </c>
      <c r="H105" s="48">
        <f>SUM(H106:H158)</f>
        <v>0</v>
      </c>
      <c r="I105" s="48">
        <f>G105+H105</f>
        <v>0</v>
      </c>
      <c r="J105" s="49"/>
      <c r="K105" s="48">
        <f>SUM(K106:K158)</f>
        <v>9.346175200000003</v>
      </c>
      <c r="L105" s="49"/>
      <c r="P105" s="11">
        <f>IF(Q105="PR",I105,SUM(O106:O158))</f>
        <v>0</v>
      </c>
      <c r="Q105" s="5" t="s">
        <v>432</v>
      </c>
      <c r="R105" s="11">
        <f>IF(Q105="HS",G105,0)</f>
        <v>0</v>
      </c>
      <c r="S105" s="11">
        <f>IF(Q105="HS",H105-P105,0)</f>
        <v>0</v>
      </c>
      <c r="T105" s="11">
        <f>IF(Q105="PS",G105,0)</f>
        <v>0</v>
      </c>
      <c r="U105" s="11">
        <f>IF(Q105="PS",H105-P105,0)</f>
        <v>0</v>
      </c>
      <c r="V105" s="11">
        <f>IF(Q105="MP",G105,0)</f>
        <v>0</v>
      </c>
      <c r="W105" s="11">
        <f>IF(Q105="MP",H105-P105,0)</f>
        <v>0</v>
      </c>
      <c r="X105" s="11">
        <f>IF(Q105="OM",G105,0)</f>
        <v>0</v>
      </c>
      <c r="Y105" s="5"/>
      <c r="AI105" s="11">
        <f>SUM(Z106:Z158)</f>
        <v>0</v>
      </c>
      <c r="AJ105" s="11">
        <f>SUM(AA106:AA158)</f>
        <v>0</v>
      </c>
      <c r="AK105" s="11">
        <f>SUM(AB106:AB158)</f>
        <v>0</v>
      </c>
    </row>
    <row r="106" spans="1:32" ht="12.75">
      <c r="A106" s="41" t="s">
        <v>44</v>
      </c>
      <c r="B106" s="41" t="s">
        <v>153</v>
      </c>
      <c r="C106" s="41" t="s">
        <v>302</v>
      </c>
      <c r="D106" s="41" t="s">
        <v>403</v>
      </c>
      <c r="E106" s="42">
        <v>3</v>
      </c>
      <c r="F106" s="42"/>
      <c r="G106" s="42">
        <f>ROUND(E106*AE106,2)</f>
        <v>0</v>
      </c>
      <c r="H106" s="42">
        <f>I106-G106</f>
        <v>0</v>
      </c>
      <c r="I106" s="42">
        <f>ROUND(E106*F106,2)</f>
        <v>0</v>
      </c>
      <c r="J106" s="42">
        <v>0.00189</v>
      </c>
      <c r="K106" s="42">
        <f>E106*J106</f>
        <v>0.00567</v>
      </c>
      <c r="L106" s="43" t="s">
        <v>426</v>
      </c>
      <c r="N106" s="6" t="s">
        <v>7</v>
      </c>
      <c r="O106" s="3">
        <f>IF(N106="5",H106,0)</f>
        <v>0</v>
      </c>
      <c r="Z106" s="3">
        <f>IF(AD106=0,I106,0)</f>
        <v>0</v>
      </c>
      <c r="AA106" s="3">
        <f>IF(AD106=15,I106,0)</f>
        <v>0</v>
      </c>
      <c r="AB106" s="3">
        <f>IF(AD106=21,I106,0)</f>
        <v>0</v>
      </c>
      <c r="AD106" s="10">
        <v>21</v>
      </c>
      <c r="AE106" s="10">
        <f>F106*0.324529147982063</f>
        <v>0</v>
      </c>
      <c r="AF106" s="10">
        <f>F106*(1-0.324529147982063)</f>
        <v>0</v>
      </c>
    </row>
    <row r="107" spans="1:12" ht="12.75">
      <c r="A107" s="23"/>
      <c r="B107" s="23"/>
      <c r="C107" s="44" t="s">
        <v>9</v>
      </c>
      <c r="D107" s="23"/>
      <c r="E107" s="45">
        <v>3</v>
      </c>
      <c r="F107" s="23"/>
      <c r="G107" s="23"/>
      <c r="H107" s="23"/>
      <c r="I107" s="23"/>
      <c r="J107" s="23"/>
      <c r="K107" s="23"/>
      <c r="L107" s="23"/>
    </row>
    <row r="108" spans="1:32" ht="12.75">
      <c r="A108" s="41" t="s">
        <v>45</v>
      </c>
      <c r="B108" s="41" t="s">
        <v>154</v>
      </c>
      <c r="C108" s="41" t="s">
        <v>303</v>
      </c>
      <c r="D108" s="41" t="s">
        <v>403</v>
      </c>
      <c r="E108" s="42">
        <v>54</v>
      </c>
      <c r="F108" s="42"/>
      <c r="G108" s="42">
        <f>ROUND(E108*AE108,2)</f>
        <v>0</v>
      </c>
      <c r="H108" s="42">
        <f>I108-G108</f>
        <v>0</v>
      </c>
      <c r="I108" s="42">
        <f>ROUND(E108*F108,2)</f>
        <v>0</v>
      </c>
      <c r="J108" s="42">
        <v>0.00068</v>
      </c>
      <c r="K108" s="42">
        <f>E108*J108</f>
        <v>0.03672</v>
      </c>
      <c r="L108" s="43" t="s">
        <v>426</v>
      </c>
      <c r="N108" s="6" t="s">
        <v>7</v>
      </c>
      <c r="O108" s="3">
        <f>IF(N108="5",H108,0)</f>
        <v>0</v>
      </c>
      <c r="Z108" s="3">
        <f>IF(AD108=0,I108,0)</f>
        <v>0</v>
      </c>
      <c r="AA108" s="3">
        <f>IF(AD108=15,I108,0)</f>
        <v>0</v>
      </c>
      <c r="AB108" s="3">
        <f>IF(AD108=21,I108,0)</f>
        <v>0</v>
      </c>
      <c r="AD108" s="10">
        <v>21</v>
      </c>
      <c r="AE108" s="10">
        <f>F108*0.113865652724968</f>
        <v>0</v>
      </c>
      <c r="AF108" s="10">
        <f>F108*(1-0.113865652724968)</f>
        <v>0</v>
      </c>
    </row>
    <row r="109" spans="1:12" ht="12.75">
      <c r="A109" s="23"/>
      <c r="B109" s="23"/>
      <c r="C109" s="44" t="s">
        <v>60</v>
      </c>
      <c r="D109" s="23"/>
      <c r="E109" s="45">
        <v>54</v>
      </c>
      <c r="F109" s="23"/>
      <c r="G109" s="23"/>
      <c r="H109" s="23"/>
      <c r="I109" s="23"/>
      <c r="J109" s="23"/>
      <c r="K109" s="23"/>
      <c r="L109" s="23"/>
    </row>
    <row r="110" spans="1:32" ht="12.75">
      <c r="A110" s="50" t="s">
        <v>46</v>
      </c>
      <c r="B110" s="50" t="s">
        <v>155</v>
      </c>
      <c r="C110" s="50" t="s">
        <v>304</v>
      </c>
      <c r="D110" s="50" t="s">
        <v>403</v>
      </c>
      <c r="E110" s="51">
        <v>1</v>
      </c>
      <c r="F110" s="51"/>
      <c r="G110" s="51">
        <f>ROUND(E110*AE110,2)</f>
        <v>0</v>
      </c>
      <c r="H110" s="51">
        <f>I110-G110</f>
        <v>0</v>
      </c>
      <c r="I110" s="51">
        <f>ROUND(E110*F110,2)</f>
        <v>0</v>
      </c>
      <c r="J110" s="51">
        <v>0.0075</v>
      </c>
      <c r="K110" s="51">
        <f>E110*J110</f>
        <v>0.0075</v>
      </c>
      <c r="L110" s="52" t="s">
        <v>427</v>
      </c>
      <c r="N110" s="7" t="s">
        <v>428</v>
      </c>
      <c r="O110" s="4">
        <f>IF(N110="5",H110,0)</f>
        <v>0</v>
      </c>
      <c r="Z110" s="4">
        <f>IF(AD110=0,I110,0)</f>
        <v>0</v>
      </c>
      <c r="AA110" s="4">
        <f>IF(AD110=15,I110,0)</f>
        <v>0</v>
      </c>
      <c r="AB110" s="4">
        <f>IF(AD110=21,I110,0)</f>
        <v>0</v>
      </c>
      <c r="AD110" s="10">
        <v>21</v>
      </c>
      <c r="AE110" s="10">
        <f>F110*1</f>
        <v>0</v>
      </c>
      <c r="AF110" s="10">
        <f>F110*(1-1)</f>
        <v>0</v>
      </c>
    </row>
    <row r="111" spans="1:12" ht="12.75">
      <c r="A111" s="23"/>
      <c r="B111" s="23"/>
      <c r="C111" s="53" t="s">
        <v>7</v>
      </c>
      <c r="D111" s="23"/>
      <c r="E111" s="54">
        <v>1</v>
      </c>
      <c r="F111" s="23"/>
      <c r="G111" s="23"/>
      <c r="H111" s="23"/>
      <c r="I111" s="23"/>
      <c r="J111" s="23"/>
      <c r="K111" s="23"/>
      <c r="L111" s="23"/>
    </row>
    <row r="112" spans="1:32" ht="12.75">
      <c r="A112" s="50" t="s">
        <v>47</v>
      </c>
      <c r="B112" s="50" t="s">
        <v>156</v>
      </c>
      <c r="C112" s="50" t="s">
        <v>305</v>
      </c>
      <c r="D112" s="50" t="s">
        <v>403</v>
      </c>
      <c r="E112" s="51">
        <v>20</v>
      </c>
      <c r="F112" s="51"/>
      <c r="G112" s="51">
        <f>ROUND(E112*AE112,2)</f>
        <v>0</v>
      </c>
      <c r="H112" s="51">
        <f>I112-G112</f>
        <v>0</v>
      </c>
      <c r="I112" s="51">
        <f>ROUND(E112*F112,2)</f>
        <v>0</v>
      </c>
      <c r="J112" s="51">
        <v>0.0095</v>
      </c>
      <c r="K112" s="51">
        <f>E112*J112</f>
        <v>0.19</v>
      </c>
      <c r="L112" s="52" t="s">
        <v>427</v>
      </c>
      <c r="N112" s="7" t="s">
        <v>428</v>
      </c>
      <c r="O112" s="4">
        <f>IF(N112="5",H112,0)</f>
        <v>0</v>
      </c>
      <c r="Z112" s="4">
        <f>IF(AD112=0,I112,0)</f>
        <v>0</v>
      </c>
      <c r="AA112" s="4">
        <f>IF(AD112=15,I112,0)</f>
        <v>0</v>
      </c>
      <c r="AB112" s="4">
        <f>IF(AD112=21,I112,0)</f>
        <v>0</v>
      </c>
      <c r="AD112" s="10">
        <v>21</v>
      </c>
      <c r="AE112" s="10">
        <f>F112*1</f>
        <v>0</v>
      </c>
      <c r="AF112" s="10">
        <f>F112*(1-1)</f>
        <v>0</v>
      </c>
    </row>
    <row r="113" spans="1:12" ht="12.75">
      <c r="A113" s="23"/>
      <c r="B113" s="23"/>
      <c r="C113" s="53" t="s">
        <v>26</v>
      </c>
      <c r="D113" s="23"/>
      <c r="E113" s="54">
        <v>20</v>
      </c>
      <c r="F113" s="23"/>
      <c r="G113" s="23"/>
      <c r="H113" s="23"/>
      <c r="I113" s="23"/>
      <c r="J113" s="23"/>
      <c r="K113" s="23"/>
      <c r="L113" s="23"/>
    </row>
    <row r="114" spans="1:32" ht="12.75">
      <c r="A114" s="50" t="s">
        <v>48</v>
      </c>
      <c r="B114" s="50" t="s">
        <v>157</v>
      </c>
      <c r="C114" s="50" t="s">
        <v>306</v>
      </c>
      <c r="D114" s="50" t="s">
        <v>403</v>
      </c>
      <c r="E114" s="51">
        <v>5</v>
      </c>
      <c r="F114" s="51"/>
      <c r="G114" s="51">
        <f>ROUND(E114*AE114,2)</f>
        <v>0</v>
      </c>
      <c r="H114" s="51">
        <f>I114-G114</f>
        <v>0</v>
      </c>
      <c r="I114" s="51">
        <f>ROUND(E114*F114,2)</f>
        <v>0</v>
      </c>
      <c r="J114" s="51">
        <v>0.014</v>
      </c>
      <c r="K114" s="51">
        <f>E114*J114</f>
        <v>0.07</v>
      </c>
      <c r="L114" s="52" t="s">
        <v>427</v>
      </c>
      <c r="N114" s="7" t="s">
        <v>428</v>
      </c>
      <c r="O114" s="4">
        <f>IF(N114="5",H114,0)</f>
        <v>0</v>
      </c>
      <c r="Z114" s="4">
        <f>IF(AD114=0,I114,0)</f>
        <v>0</v>
      </c>
      <c r="AA114" s="4">
        <f>IF(AD114=15,I114,0)</f>
        <v>0</v>
      </c>
      <c r="AB114" s="4">
        <f>IF(AD114=21,I114,0)</f>
        <v>0</v>
      </c>
      <c r="AD114" s="10">
        <v>21</v>
      </c>
      <c r="AE114" s="10">
        <f>F114*1</f>
        <v>0</v>
      </c>
      <c r="AF114" s="10">
        <f>F114*(1-1)</f>
        <v>0</v>
      </c>
    </row>
    <row r="115" spans="1:12" ht="12.75">
      <c r="A115" s="23"/>
      <c r="B115" s="23"/>
      <c r="C115" s="53" t="s">
        <v>11</v>
      </c>
      <c r="D115" s="23"/>
      <c r="E115" s="54">
        <v>5</v>
      </c>
      <c r="F115" s="23"/>
      <c r="G115" s="23"/>
      <c r="H115" s="23"/>
      <c r="I115" s="23"/>
      <c r="J115" s="23"/>
      <c r="K115" s="23"/>
      <c r="L115" s="23"/>
    </row>
    <row r="116" spans="1:32" ht="12.75">
      <c r="A116" s="50" t="s">
        <v>49</v>
      </c>
      <c r="B116" s="50" t="s">
        <v>158</v>
      </c>
      <c r="C116" s="50" t="s">
        <v>307</v>
      </c>
      <c r="D116" s="50" t="s">
        <v>403</v>
      </c>
      <c r="E116" s="51">
        <v>18</v>
      </c>
      <c r="F116" s="51"/>
      <c r="G116" s="51">
        <f>ROUND(E116*AE116,2)</f>
        <v>0</v>
      </c>
      <c r="H116" s="51">
        <f>I116-G116</f>
        <v>0</v>
      </c>
      <c r="I116" s="51">
        <f>ROUND(E116*F116,2)</f>
        <v>0</v>
      </c>
      <c r="J116" s="51">
        <v>0.014</v>
      </c>
      <c r="K116" s="51">
        <f>E116*J116</f>
        <v>0.252</v>
      </c>
      <c r="L116" s="52" t="s">
        <v>427</v>
      </c>
      <c r="N116" s="7" t="s">
        <v>428</v>
      </c>
      <c r="O116" s="4">
        <f>IF(N116="5",H116,0)</f>
        <v>0</v>
      </c>
      <c r="Z116" s="4">
        <f>IF(AD116=0,I116,0)</f>
        <v>0</v>
      </c>
      <c r="AA116" s="4">
        <f>IF(AD116=15,I116,0)</f>
        <v>0</v>
      </c>
      <c r="AB116" s="4">
        <f>IF(AD116=21,I116,0)</f>
        <v>0</v>
      </c>
      <c r="AD116" s="10">
        <v>21</v>
      </c>
      <c r="AE116" s="10">
        <f>F116*1</f>
        <v>0</v>
      </c>
      <c r="AF116" s="10">
        <f>F116*(1-1)</f>
        <v>0</v>
      </c>
    </row>
    <row r="117" spans="1:12" ht="12.75">
      <c r="A117" s="23"/>
      <c r="B117" s="23"/>
      <c r="C117" s="53" t="s">
        <v>24</v>
      </c>
      <c r="D117" s="23"/>
      <c r="E117" s="54">
        <v>18</v>
      </c>
      <c r="F117" s="23"/>
      <c r="G117" s="23"/>
      <c r="H117" s="23"/>
      <c r="I117" s="23"/>
      <c r="J117" s="23"/>
      <c r="K117" s="23"/>
      <c r="L117" s="23"/>
    </row>
    <row r="118" spans="1:32" ht="12.75">
      <c r="A118" s="50" t="s">
        <v>50</v>
      </c>
      <c r="B118" s="50" t="s">
        <v>157</v>
      </c>
      <c r="C118" s="50" t="s">
        <v>308</v>
      </c>
      <c r="D118" s="50" t="s">
        <v>403</v>
      </c>
      <c r="E118" s="51">
        <v>9</v>
      </c>
      <c r="F118" s="51"/>
      <c r="G118" s="51">
        <f>ROUND(E118*AE118,2)</f>
        <v>0</v>
      </c>
      <c r="H118" s="51">
        <f>I118-G118</f>
        <v>0</v>
      </c>
      <c r="I118" s="51">
        <f>ROUND(E118*F118,2)</f>
        <v>0</v>
      </c>
      <c r="J118" s="51">
        <v>0.014</v>
      </c>
      <c r="K118" s="51">
        <f>E118*J118</f>
        <v>0.126</v>
      </c>
      <c r="L118" s="52" t="s">
        <v>427</v>
      </c>
      <c r="N118" s="7" t="s">
        <v>428</v>
      </c>
      <c r="O118" s="4">
        <f>IF(N118="5",H118,0)</f>
        <v>0</v>
      </c>
      <c r="Z118" s="4">
        <f>IF(AD118=0,I118,0)</f>
        <v>0</v>
      </c>
      <c r="AA118" s="4">
        <f>IF(AD118=15,I118,0)</f>
        <v>0</v>
      </c>
      <c r="AB118" s="4">
        <f>IF(AD118=21,I118,0)</f>
        <v>0</v>
      </c>
      <c r="AD118" s="10">
        <v>21</v>
      </c>
      <c r="AE118" s="10">
        <f>F118*1</f>
        <v>0</v>
      </c>
      <c r="AF118" s="10">
        <f>F118*(1-1)</f>
        <v>0</v>
      </c>
    </row>
    <row r="119" spans="1:12" ht="12.75">
      <c r="A119" s="23"/>
      <c r="B119" s="23"/>
      <c r="C119" s="53" t="s">
        <v>15</v>
      </c>
      <c r="D119" s="23"/>
      <c r="E119" s="54">
        <v>9</v>
      </c>
      <c r="F119" s="23"/>
      <c r="G119" s="23"/>
      <c r="H119" s="23"/>
      <c r="I119" s="23"/>
      <c r="J119" s="23"/>
      <c r="K119" s="23"/>
      <c r="L119" s="23"/>
    </row>
    <row r="120" spans="1:32" ht="12.75">
      <c r="A120" s="50" t="s">
        <v>51</v>
      </c>
      <c r="B120" s="50" t="s">
        <v>159</v>
      </c>
      <c r="C120" s="50" t="s">
        <v>309</v>
      </c>
      <c r="D120" s="50" t="s">
        <v>403</v>
      </c>
      <c r="E120" s="51">
        <v>1</v>
      </c>
      <c r="F120" s="51"/>
      <c r="G120" s="51">
        <f>ROUND(E120*AE120,2)</f>
        <v>0</v>
      </c>
      <c r="H120" s="51">
        <f>I120-G120</f>
        <v>0</v>
      </c>
      <c r="I120" s="51">
        <f>ROUND(E120*F120,2)</f>
        <v>0</v>
      </c>
      <c r="J120" s="51">
        <v>0.0095</v>
      </c>
      <c r="K120" s="51">
        <f>E120*J120</f>
        <v>0.0095</v>
      </c>
      <c r="L120" s="52" t="s">
        <v>427</v>
      </c>
      <c r="N120" s="7" t="s">
        <v>428</v>
      </c>
      <c r="O120" s="4">
        <f>IF(N120="5",H120,0)</f>
        <v>0</v>
      </c>
      <c r="Z120" s="4">
        <f>IF(AD120=0,I120,0)</f>
        <v>0</v>
      </c>
      <c r="AA120" s="4">
        <f>IF(AD120=15,I120,0)</f>
        <v>0</v>
      </c>
      <c r="AB120" s="4">
        <f>IF(AD120=21,I120,0)</f>
        <v>0</v>
      </c>
      <c r="AD120" s="10">
        <v>21</v>
      </c>
      <c r="AE120" s="10">
        <f>F120*1</f>
        <v>0</v>
      </c>
      <c r="AF120" s="10">
        <f>F120*(1-1)</f>
        <v>0</v>
      </c>
    </row>
    <row r="121" spans="1:12" ht="12.75">
      <c r="A121" s="23"/>
      <c r="B121" s="23"/>
      <c r="C121" s="53" t="s">
        <v>7</v>
      </c>
      <c r="D121" s="23"/>
      <c r="E121" s="54">
        <v>1</v>
      </c>
      <c r="F121" s="23"/>
      <c r="G121" s="23"/>
      <c r="H121" s="23"/>
      <c r="I121" s="23"/>
      <c r="J121" s="23"/>
      <c r="K121" s="23"/>
      <c r="L121" s="23"/>
    </row>
    <row r="122" spans="1:32" ht="12.75">
      <c r="A122" s="41" t="s">
        <v>52</v>
      </c>
      <c r="B122" s="41" t="s">
        <v>160</v>
      </c>
      <c r="C122" s="41" t="s">
        <v>310</v>
      </c>
      <c r="D122" s="41" t="s">
        <v>403</v>
      </c>
      <c r="E122" s="42">
        <v>26</v>
      </c>
      <c r="F122" s="42"/>
      <c r="G122" s="42">
        <f>ROUND(E122*AE122,2)</f>
        <v>0</v>
      </c>
      <c r="H122" s="42">
        <f>I122-G122</f>
        <v>0</v>
      </c>
      <c r="I122" s="42">
        <f>ROUND(E122*F122,2)</f>
        <v>0</v>
      </c>
      <c r="J122" s="42">
        <v>0.00091</v>
      </c>
      <c r="K122" s="42">
        <f>E122*J122</f>
        <v>0.02366</v>
      </c>
      <c r="L122" s="43" t="s">
        <v>426</v>
      </c>
      <c r="N122" s="6" t="s">
        <v>7</v>
      </c>
      <c r="O122" s="3">
        <f>IF(N122="5",H122,0)</f>
        <v>0</v>
      </c>
      <c r="Z122" s="3">
        <f>IF(AD122=0,I122,0)</f>
        <v>0</v>
      </c>
      <c r="AA122" s="3">
        <f>IF(AD122=15,I122,0)</f>
        <v>0</v>
      </c>
      <c r="AB122" s="3">
        <f>IF(AD122=21,I122,0)</f>
        <v>0</v>
      </c>
      <c r="AD122" s="10">
        <v>21</v>
      </c>
      <c r="AE122" s="10">
        <f>F122*0.124138148822619</f>
        <v>0</v>
      </c>
      <c r="AF122" s="10">
        <f>F122*(1-0.124138148822619)</f>
        <v>0</v>
      </c>
    </row>
    <row r="123" spans="1:12" ht="12.75">
      <c r="A123" s="23"/>
      <c r="B123" s="23"/>
      <c r="C123" s="44" t="s">
        <v>32</v>
      </c>
      <c r="D123" s="23"/>
      <c r="E123" s="45">
        <v>26</v>
      </c>
      <c r="F123" s="23"/>
      <c r="G123" s="23"/>
      <c r="H123" s="23"/>
      <c r="I123" s="23"/>
      <c r="J123" s="23"/>
      <c r="K123" s="23"/>
      <c r="L123" s="23"/>
    </row>
    <row r="124" spans="1:32" ht="12.75">
      <c r="A124" s="50" t="s">
        <v>53</v>
      </c>
      <c r="B124" s="50" t="s">
        <v>161</v>
      </c>
      <c r="C124" s="50" t="s">
        <v>311</v>
      </c>
      <c r="D124" s="50" t="s">
        <v>403</v>
      </c>
      <c r="E124" s="51">
        <v>5</v>
      </c>
      <c r="F124" s="51"/>
      <c r="G124" s="51">
        <f>ROUND(E124*AE124,2)</f>
        <v>0</v>
      </c>
      <c r="H124" s="51">
        <f>I124-G124</f>
        <v>0</v>
      </c>
      <c r="I124" s="51">
        <f>ROUND(E124*F124,2)</f>
        <v>0</v>
      </c>
      <c r="J124" s="51">
        <v>0.037</v>
      </c>
      <c r="K124" s="51">
        <f>E124*J124</f>
        <v>0.185</v>
      </c>
      <c r="L124" s="52" t="s">
        <v>427</v>
      </c>
      <c r="N124" s="7" t="s">
        <v>428</v>
      </c>
      <c r="O124" s="4">
        <f>IF(N124="5",H124,0)</f>
        <v>0</v>
      </c>
      <c r="Z124" s="4">
        <f>IF(AD124=0,I124,0)</f>
        <v>0</v>
      </c>
      <c r="AA124" s="4">
        <f>IF(AD124=15,I124,0)</f>
        <v>0</v>
      </c>
      <c r="AB124" s="4">
        <f>IF(AD124=21,I124,0)</f>
        <v>0</v>
      </c>
      <c r="AD124" s="10">
        <v>21</v>
      </c>
      <c r="AE124" s="10">
        <f>F124*1</f>
        <v>0</v>
      </c>
      <c r="AF124" s="10">
        <f>F124*(1-1)</f>
        <v>0</v>
      </c>
    </row>
    <row r="125" spans="1:12" ht="12.75">
      <c r="A125" s="23"/>
      <c r="B125" s="23"/>
      <c r="C125" s="53" t="s">
        <v>11</v>
      </c>
      <c r="D125" s="23"/>
      <c r="E125" s="54">
        <v>5</v>
      </c>
      <c r="F125" s="23"/>
      <c r="G125" s="23"/>
      <c r="H125" s="23"/>
      <c r="I125" s="23"/>
      <c r="J125" s="23"/>
      <c r="K125" s="23"/>
      <c r="L125" s="23"/>
    </row>
    <row r="126" spans="1:32" ht="12.75">
      <c r="A126" s="50" t="s">
        <v>54</v>
      </c>
      <c r="B126" s="50" t="s">
        <v>162</v>
      </c>
      <c r="C126" s="50" t="s">
        <v>312</v>
      </c>
      <c r="D126" s="50" t="s">
        <v>403</v>
      </c>
      <c r="E126" s="51">
        <v>3</v>
      </c>
      <c r="F126" s="51"/>
      <c r="G126" s="51">
        <f>ROUND(E126*AE126,2)</f>
        <v>0</v>
      </c>
      <c r="H126" s="51">
        <f>I126-G126</f>
        <v>0</v>
      </c>
      <c r="I126" s="51">
        <f>ROUND(E126*F126,2)</f>
        <v>0</v>
      </c>
      <c r="J126" s="51">
        <v>0.023</v>
      </c>
      <c r="K126" s="51">
        <f>E126*J126</f>
        <v>0.069</v>
      </c>
      <c r="L126" s="52" t="s">
        <v>427</v>
      </c>
      <c r="N126" s="7" t="s">
        <v>428</v>
      </c>
      <c r="O126" s="4">
        <f>IF(N126="5",H126,0)</f>
        <v>0</v>
      </c>
      <c r="Z126" s="4">
        <f>IF(AD126=0,I126,0)</f>
        <v>0</v>
      </c>
      <c r="AA126" s="4">
        <f>IF(AD126=15,I126,0)</f>
        <v>0</v>
      </c>
      <c r="AB126" s="4">
        <f>IF(AD126=21,I126,0)</f>
        <v>0</v>
      </c>
      <c r="AD126" s="10">
        <v>21</v>
      </c>
      <c r="AE126" s="10">
        <f>F126*1</f>
        <v>0</v>
      </c>
      <c r="AF126" s="10">
        <f>F126*(1-1)</f>
        <v>0</v>
      </c>
    </row>
    <row r="127" spans="1:12" ht="12.75">
      <c r="A127" s="23"/>
      <c r="B127" s="23"/>
      <c r="C127" s="53" t="s">
        <v>9</v>
      </c>
      <c r="D127" s="23"/>
      <c r="E127" s="54">
        <v>3</v>
      </c>
      <c r="F127" s="23"/>
      <c r="G127" s="23"/>
      <c r="H127" s="23"/>
      <c r="I127" s="23"/>
      <c r="J127" s="23"/>
      <c r="K127" s="23"/>
      <c r="L127" s="23"/>
    </row>
    <row r="128" spans="1:32" ht="12.75">
      <c r="A128" s="50" t="s">
        <v>55</v>
      </c>
      <c r="B128" s="50" t="s">
        <v>163</v>
      </c>
      <c r="C128" s="50" t="s">
        <v>313</v>
      </c>
      <c r="D128" s="50" t="s">
        <v>403</v>
      </c>
      <c r="E128" s="51">
        <v>18</v>
      </c>
      <c r="F128" s="51"/>
      <c r="G128" s="51">
        <f>ROUND(E128*AE128,2)</f>
        <v>0</v>
      </c>
      <c r="H128" s="51">
        <f>I128-G128</f>
        <v>0</v>
      </c>
      <c r="I128" s="51">
        <f>ROUND(E128*F128,2)</f>
        <v>0</v>
      </c>
      <c r="J128" s="51">
        <v>0.043</v>
      </c>
      <c r="K128" s="51">
        <f>E128*J128</f>
        <v>0.7739999999999999</v>
      </c>
      <c r="L128" s="52" t="s">
        <v>427</v>
      </c>
      <c r="N128" s="7" t="s">
        <v>428</v>
      </c>
      <c r="O128" s="4">
        <f>IF(N128="5",H128,0)</f>
        <v>0</v>
      </c>
      <c r="Z128" s="4">
        <f>IF(AD128=0,I128,0)</f>
        <v>0</v>
      </c>
      <c r="AA128" s="4">
        <f>IF(AD128=15,I128,0)</f>
        <v>0</v>
      </c>
      <c r="AB128" s="4">
        <f>IF(AD128=21,I128,0)</f>
        <v>0</v>
      </c>
      <c r="AD128" s="10">
        <v>21</v>
      </c>
      <c r="AE128" s="10">
        <f>F128*1</f>
        <v>0</v>
      </c>
      <c r="AF128" s="10">
        <f>F128*(1-1)</f>
        <v>0</v>
      </c>
    </row>
    <row r="129" spans="1:12" ht="12.75">
      <c r="A129" s="23"/>
      <c r="B129" s="23"/>
      <c r="C129" s="53" t="s">
        <v>24</v>
      </c>
      <c r="D129" s="23"/>
      <c r="E129" s="54">
        <v>18</v>
      </c>
      <c r="F129" s="23"/>
      <c r="G129" s="23"/>
      <c r="H129" s="23"/>
      <c r="I129" s="23"/>
      <c r="J129" s="23"/>
      <c r="K129" s="23"/>
      <c r="L129" s="23"/>
    </row>
    <row r="130" spans="1:32" ht="12.75">
      <c r="A130" s="41" t="s">
        <v>56</v>
      </c>
      <c r="B130" s="41" t="s">
        <v>164</v>
      </c>
      <c r="C130" s="41" t="s">
        <v>314</v>
      </c>
      <c r="D130" s="41" t="s">
        <v>403</v>
      </c>
      <c r="E130" s="42">
        <v>12</v>
      </c>
      <c r="F130" s="42"/>
      <c r="G130" s="42">
        <f>ROUND(E130*AE130,2)</f>
        <v>0</v>
      </c>
      <c r="H130" s="42">
        <f>I130-G130</f>
        <v>0</v>
      </c>
      <c r="I130" s="42">
        <f>ROUND(E130*F130,2)</f>
        <v>0</v>
      </c>
      <c r="J130" s="42">
        <v>0.00121</v>
      </c>
      <c r="K130" s="42">
        <f>E130*J130</f>
        <v>0.014519999999999998</v>
      </c>
      <c r="L130" s="43" t="s">
        <v>426</v>
      </c>
      <c r="N130" s="6" t="s">
        <v>7</v>
      </c>
      <c r="O130" s="3">
        <f>IF(N130="5",H130,0)</f>
        <v>0</v>
      </c>
      <c r="Z130" s="3">
        <f>IF(AD130=0,I130,0)</f>
        <v>0</v>
      </c>
      <c r="AA130" s="3">
        <f>IF(AD130=15,I130,0)</f>
        <v>0</v>
      </c>
      <c r="AB130" s="3">
        <f>IF(AD130=21,I130,0)</f>
        <v>0</v>
      </c>
      <c r="AD130" s="10">
        <v>21</v>
      </c>
      <c r="AE130" s="10">
        <f>F130*0.155127272727273</f>
        <v>0</v>
      </c>
      <c r="AF130" s="10">
        <f>F130*(1-0.155127272727273)</f>
        <v>0</v>
      </c>
    </row>
    <row r="131" spans="1:12" ht="12.75">
      <c r="A131" s="23"/>
      <c r="B131" s="23"/>
      <c r="C131" s="44" t="s">
        <v>18</v>
      </c>
      <c r="D131" s="23"/>
      <c r="E131" s="45">
        <v>12</v>
      </c>
      <c r="F131" s="23"/>
      <c r="G131" s="23"/>
      <c r="H131" s="23"/>
      <c r="I131" s="23"/>
      <c r="J131" s="23"/>
      <c r="K131" s="23"/>
      <c r="L131" s="23"/>
    </row>
    <row r="132" spans="1:32" ht="12.75">
      <c r="A132" s="50" t="s">
        <v>57</v>
      </c>
      <c r="B132" s="50" t="s">
        <v>165</v>
      </c>
      <c r="C132" s="50" t="s">
        <v>315</v>
      </c>
      <c r="D132" s="50" t="s">
        <v>403</v>
      </c>
      <c r="E132" s="51">
        <v>2</v>
      </c>
      <c r="F132" s="51"/>
      <c r="G132" s="51">
        <f>ROUND(E132*AE132,2)</f>
        <v>0</v>
      </c>
      <c r="H132" s="51">
        <f>I132-G132</f>
        <v>0</v>
      </c>
      <c r="I132" s="51">
        <f>ROUND(E132*F132,2)</f>
        <v>0</v>
      </c>
      <c r="J132" s="51">
        <v>0.07</v>
      </c>
      <c r="K132" s="51">
        <f>E132*J132</f>
        <v>0.14</v>
      </c>
      <c r="L132" s="52" t="s">
        <v>427</v>
      </c>
      <c r="N132" s="7" t="s">
        <v>428</v>
      </c>
      <c r="O132" s="4">
        <f>IF(N132="5",H132,0)</f>
        <v>0</v>
      </c>
      <c r="Z132" s="4">
        <f>IF(AD132=0,I132,0)</f>
        <v>0</v>
      </c>
      <c r="AA132" s="4">
        <f>IF(AD132=15,I132,0)</f>
        <v>0</v>
      </c>
      <c r="AB132" s="4">
        <f>IF(AD132=21,I132,0)</f>
        <v>0</v>
      </c>
      <c r="AD132" s="10">
        <v>21</v>
      </c>
      <c r="AE132" s="10">
        <f>F132*1</f>
        <v>0</v>
      </c>
      <c r="AF132" s="10">
        <f>F132*(1-1)</f>
        <v>0</v>
      </c>
    </row>
    <row r="133" spans="1:12" ht="12.75">
      <c r="A133" s="23"/>
      <c r="B133" s="23"/>
      <c r="C133" s="53" t="s">
        <v>8</v>
      </c>
      <c r="D133" s="23"/>
      <c r="E133" s="54">
        <v>2</v>
      </c>
      <c r="F133" s="23"/>
      <c r="G133" s="23"/>
      <c r="H133" s="23"/>
      <c r="I133" s="23"/>
      <c r="J133" s="23"/>
      <c r="K133" s="23"/>
      <c r="L133" s="23"/>
    </row>
    <row r="134" spans="1:32" ht="12.75">
      <c r="A134" s="50" t="s">
        <v>58</v>
      </c>
      <c r="B134" s="50" t="s">
        <v>166</v>
      </c>
      <c r="C134" s="50" t="s">
        <v>316</v>
      </c>
      <c r="D134" s="50" t="s">
        <v>403</v>
      </c>
      <c r="E134" s="51">
        <v>10</v>
      </c>
      <c r="F134" s="51"/>
      <c r="G134" s="51">
        <f>ROUND(E134*AE134,2)</f>
        <v>0</v>
      </c>
      <c r="H134" s="51">
        <f>I134-G134</f>
        <v>0</v>
      </c>
      <c r="I134" s="51">
        <f>ROUND(E134*F134,2)</f>
        <v>0</v>
      </c>
      <c r="J134" s="51">
        <v>0.047</v>
      </c>
      <c r="K134" s="51">
        <f>E134*J134</f>
        <v>0.47</v>
      </c>
      <c r="L134" s="52" t="s">
        <v>427</v>
      </c>
      <c r="N134" s="7" t="s">
        <v>428</v>
      </c>
      <c r="O134" s="4">
        <f>IF(N134="5",H134,0)</f>
        <v>0</v>
      </c>
      <c r="Z134" s="4">
        <f>IF(AD134=0,I134,0)</f>
        <v>0</v>
      </c>
      <c r="AA134" s="4">
        <f>IF(AD134=15,I134,0)</f>
        <v>0</v>
      </c>
      <c r="AB134" s="4">
        <f>IF(AD134=21,I134,0)</f>
        <v>0</v>
      </c>
      <c r="AD134" s="10">
        <v>21</v>
      </c>
      <c r="AE134" s="10">
        <f>F134*1</f>
        <v>0</v>
      </c>
      <c r="AF134" s="10">
        <f>F134*(1-1)</f>
        <v>0</v>
      </c>
    </row>
    <row r="135" spans="1:12" ht="12.75">
      <c r="A135" s="23"/>
      <c r="B135" s="23"/>
      <c r="C135" s="53" t="s">
        <v>16</v>
      </c>
      <c r="D135" s="23"/>
      <c r="E135" s="54">
        <v>10</v>
      </c>
      <c r="F135" s="23"/>
      <c r="G135" s="23"/>
      <c r="H135" s="23"/>
      <c r="I135" s="23"/>
      <c r="J135" s="23"/>
      <c r="K135" s="23"/>
      <c r="L135" s="23"/>
    </row>
    <row r="136" spans="1:32" ht="12.75">
      <c r="A136" s="41" t="s">
        <v>59</v>
      </c>
      <c r="B136" s="41" t="s">
        <v>167</v>
      </c>
      <c r="C136" s="41" t="s">
        <v>317</v>
      </c>
      <c r="D136" s="41" t="s">
        <v>403</v>
      </c>
      <c r="E136" s="42">
        <v>66</v>
      </c>
      <c r="F136" s="42"/>
      <c r="G136" s="42">
        <f>ROUND(E136*AE136,2)</f>
        <v>0</v>
      </c>
      <c r="H136" s="42">
        <f>I136-G136</f>
        <v>0</v>
      </c>
      <c r="I136" s="42">
        <f>ROUND(E136*F136,2)</f>
        <v>0</v>
      </c>
      <c r="J136" s="42">
        <v>0</v>
      </c>
      <c r="K136" s="42">
        <f>E136*J136</f>
        <v>0</v>
      </c>
      <c r="L136" s="43" t="s">
        <v>426</v>
      </c>
      <c r="N136" s="6" t="s">
        <v>7</v>
      </c>
      <c r="O136" s="3">
        <f>IF(N136="5",H136,0)</f>
        <v>0</v>
      </c>
      <c r="Z136" s="3">
        <f>IF(AD136=0,I136,0)</f>
        <v>0</v>
      </c>
      <c r="AA136" s="3">
        <f>IF(AD136=15,I136,0)</f>
        <v>0</v>
      </c>
      <c r="AB136" s="3">
        <f>IF(AD136=21,I136,0)</f>
        <v>0</v>
      </c>
      <c r="AD136" s="10">
        <v>21</v>
      </c>
      <c r="AE136" s="10">
        <f>F136*0.0466207230081006</f>
        <v>0</v>
      </c>
      <c r="AF136" s="10">
        <f>F136*(1-0.0466207230081006)</f>
        <v>0</v>
      </c>
    </row>
    <row r="137" spans="1:12" ht="12.75">
      <c r="A137" s="23"/>
      <c r="B137" s="23"/>
      <c r="C137" s="44" t="s">
        <v>72</v>
      </c>
      <c r="D137" s="23"/>
      <c r="E137" s="45">
        <v>66</v>
      </c>
      <c r="F137" s="23"/>
      <c r="G137" s="23"/>
      <c r="H137" s="23"/>
      <c r="I137" s="23"/>
      <c r="J137" s="23"/>
      <c r="K137" s="23"/>
      <c r="L137" s="23"/>
    </row>
    <row r="138" spans="1:32" ht="12.75">
      <c r="A138" s="50" t="s">
        <v>60</v>
      </c>
      <c r="B138" s="50" t="s">
        <v>168</v>
      </c>
      <c r="C138" s="50" t="s">
        <v>318</v>
      </c>
      <c r="D138" s="50" t="s">
        <v>403</v>
      </c>
      <c r="E138" s="51">
        <v>8</v>
      </c>
      <c r="F138" s="51"/>
      <c r="G138" s="51">
        <f>ROUND(E138*AE138,2)</f>
        <v>0</v>
      </c>
      <c r="H138" s="51">
        <f>I138-G138</f>
        <v>0</v>
      </c>
      <c r="I138" s="51">
        <f>ROUND(E138*F138,2)</f>
        <v>0</v>
      </c>
      <c r="J138" s="51">
        <v>0.055</v>
      </c>
      <c r="K138" s="51">
        <f>E138*J138</f>
        <v>0.44</v>
      </c>
      <c r="L138" s="52" t="s">
        <v>427</v>
      </c>
      <c r="N138" s="7" t="s">
        <v>428</v>
      </c>
      <c r="O138" s="4">
        <f>IF(N138="5",H138,0)</f>
        <v>0</v>
      </c>
      <c r="Z138" s="4">
        <f>IF(AD138=0,I138,0)</f>
        <v>0</v>
      </c>
      <c r="AA138" s="4">
        <f>IF(AD138=15,I138,0)</f>
        <v>0</v>
      </c>
      <c r="AB138" s="4">
        <f>IF(AD138=21,I138,0)</f>
        <v>0</v>
      </c>
      <c r="AD138" s="10">
        <v>21</v>
      </c>
      <c r="AE138" s="10">
        <f>F138*1</f>
        <v>0</v>
      </c>
      <c r="AF138" s="10">
        <f>F138*(1-1)</f>
        <v>0</v>
      </c>
    </row>
    <row r="139" spans="1:12" ht="12.75">
      <c r="A139" s="23"/>
      <c r="B139" s="23"/>
      <c r="C139" s="53" t="s">
        <v>14</v>
      </c>
      <c r="D139" s="23"/>
      <c r="E139" s="54">
        <v>8</v>
      </c>
      <c r="F139" s="23"/>
      <c r="G139" s="23"/>
      <c r="H139" s="23"/>
      <c r="I139" s="23"/>
      <c r="J139" s="23"/>
      <c r="K139" s="23"/>
      <c r="L139" s="23"/>
    </row>
    <row r="140" spans="1:32" ht="12.75">
      <c r="A140" s="50" t="s">
        <v>61</v>
      </c>
      <c r="B140" s="50" t="s">
        <v>169</v>
      </c>
      <c r="C140" s="50" t="s">
        <v>319</v>
      </c>
      <c r="D140" s="50" t="s">
        <v>403</v>
      </c>
      <c r="E140" s="51">
        <v>4</v>
      </c>
      <c r="F140" s="51"/>
      <c r="G140" s="51">
        <f>ROUND(E140*AE140,2)</f>
        <v>0</v>
      </c>
      <c r="H140" s="51">
        <f>I140-G140</f>
        <v>0</v>
      </c>
      <c r="I140" s="51">
        <f>ROUND(E140*F140,2)</f>
        <v>0</v>
      </c>
      <c r="J140" s="51">
        <v>0.08</v>
      </c>
      <c r="K140" s="51">
        <f>E140*J140</f>
        <v>0.32</v>
      </c>
      <c r="L140" s="52" t="s">
        <v>427</v>
      </c>
      <c r="N140" s="7" t="s">
        <v>428</v>
      </c>
      <c r="O140" s="4">
        <f>IF(N140="5",H140,0)</f>
        <v>0</v>
      </c>
      <c r="Z140" s="4">
        <f>IF(AD140=0,I140,0)</f>
        <v>0</v>
      </c>
      <c r="AA140" s="4">
        <f>IF(AD140=15,I140,0)</f>
        <v>0</v>
      </c>
      <c r="AB140" s="4">
        <f>IF(AD140=21,I140,0)</f>
        <v>0</v>
      </c>
      <c r="AD140" s="10">
        <v>21</v>
      </c>
      <c r="AE140" s="10">
        <f>F140*1</f>
        <v>0</v>
      </c>
      <c r="AF140" s="10">
        <f>F140*(1-1)</f>
        <v>0</v>
      </c>
    </row>
    <row r="141" spans="1:12" ht="12.75">
      <c r="A141" s="23"/>
      <c r="B141" s="23"/>
      <c r="C141" s="53" t="s">
        <v>10</v>
      </c>
      <c r="D141" s="23"/>
      <c r="E141" s="54">
        <v>4</v>
      </c>
      <c r="F141" s="23"/>
      <c r="G141" s="23"/>
      <c r="H141" s="23"/>
      <c r="I141" s="23"/>
      <c r="J141" s="23"/>
      <c r="K141" s="23"/>
      <c r="L141" s="23"/>
    </row>
    <row r="142" spans="1:32" ht="12.75">
      <c r="A142" s="50" t="s">
        <v>62</v>
      </c>
      <c r="B142" s="50" t="s">
        <v>170</v>
      </c>
      <c r="C142" s="50" t="s">
        <v>320</v>
      </c>
      <c r="D142" s="50" t="s">
        <v>403</v>
      </c>
      <c r="E142" s="51">
        <v>39</v>
      </c>
      <c r="F142" s="51"/>
      <c r="G142" s="51">
        <f>ROUND(E142*AE142,2)</f>
        <v>0</v>
      </c>
      <c r="H142" s="51">
        <f>I142-G142</f>
        <v>0</v>
      </c>
      <c r="I142" s="51">
        <f>ROUND(E142*F142,2)</f>
        <v>0</v>
      </c>
      <c r="J142" s="51">
        <v>0.1</v>
      </c>
      <c r="K142" s="51">
        <f>E142*J142</f>
        <v>3.9000000000000004</v>
      </c>
      <c r="L142" s="52" t="s">
        <v>427</v>
      </c>
      <c r="N142" s="7" t="s">
        <v>428</v>
      </c>
      <c r="O142" s="4">
        <f>IF(N142="5",H142,0)</f>
        <v>0</v>
      </c>
      <c r="Z142" s="4">
        <f>IF(AD142=0,I142,0)</f>
        <v>0</v>
      </c>
      <c r="AA142" s="4">
        <f>IF(AD142=15,I142,0)</f>
        <v>0</v>
      </c>
      <c r="AB142" s="4">
        <f>IF(AD142=21,I142,0)</f>
        <v>0</v>
      </c>
      <c r="AD142" s="10">
        <v>21</v>
      </c>
      <c r="AE142" s="10">
        <f>F142*1</f>
        <v>0</v>
      </c>
      <c r="AF142" s="10">
        <f>F142*(1-1)</f>
        <v>0</v>
      </c>
    </row>
    <row r="143" spans="1:12" ht="12.75">
      <c r="A143" s="23"/>
      <c r="B143" s="23"/>
      <c r="C143" s="53" t="s">
        <v>45</v>
      </c>
      <c r="D143" s="23"/>
      <c r="E143" s="54">
        <v>39</v>
      </c>
      <c r="F143" s="23"/>
      <c r="G143" s="23"/>
      <c r="H143" s="23"/>
      <c r="I143" s="23"/>
      <c r="J143" s="23"/>
      <c r="K143" s="23"/>
      <c r="L143" s="23"/>
    </row>
    <row r="144" spans="1:32" ht="12.75">
      <c r="A144" s="50" t="s">
        <v>63</v>
      </c>
      <c r="B144" s="50" t="s">
        <v>170</v>
      </c>
      <c r="C144" s="50" t="s">
        <v>321</v>
      </c>
      <c r="D144" s="50" t="s">
        <v>403</v>
      </c>
      <c r="E144" s="51">
        <v>15</v>
      </c>
      <c r="F144" s="51"/>
      <c r="G144" s="51">
        <f>ROUND(E144*AE144,2)</f>
        <v>0</v>
      </c>
      <c r="H144" s="51">
        <f>I144-G144</f>
        <v>0</v>
      </c>
      <c r="I144" s="51">
        <f>ROUND(E144*F144,2)</f>
        <v>0</v>
      </c>
      <c r="J144" s="51">
        <v>0.1</v>
      </c>
      <c r="K144" s="51">
        <f>E144*J144</f>
        <v>1.5</v>
      </c>
      <c r="L144" s="52" t="s">
        <v>427</v>
      </c>
      <c r="N144" s="7" t="s">
        <v>428</v>
      </c>
      <c r="O144" s="4">
        <f>IF(N144="5",H144,0)</f>
        <v>0</v>
      </c>
      <c r="Z144" s="4">
        <f>IF(AD144=0,I144,0)</f>
        <v>0</v>
      </c>
      <c r="AA144" s="4">
        <f>IF(AD144=15,I144,0)</f>
        <v>0</v>
      </c>
      <c r="AB144" s="4">
        <f>IF(AD144=21,I144,0)</f>
        <v>0</v>
      </c>
      <c r="AD144" s="10">
        <v>21</v>
      </c>
      <c r="AE144" s="10">
        <f>F144*1</f>
        <v>0</v>
      </c>
      <c r="AF144" s="10">
        <f>F144*(1-1)</f>
        <v>0</v>
      </c>
    </row>
    <row r="145" spans="1:12" ht="12.75">
      <c r="A145" s="23"/>
      <c r="B145" s="23"/>
      <c r="C145" s="53" t="s">
        <v>21</v>
      </c>
      <c r="D145" s="23"/>
      <c r="E145" s="54">
        <v>15</v>
      </c>
      <c r="F145" s="23"/>
      <c r="G145" s="23"/>
      <c r="H145" s="23"/>
      <c r="I145" s="23"/>
      <c r="J145" s="23"/>
      <c r="K145" s="23"/>
      <c r="L145" s="23"/>
    </row>
    <row r="146" spans="1:32" ht="12.75">
      <c r="A146" s="41" t="s">
        <v>64</v>
      </c>
      <c r="B146" s="41" t="s">
        <v>171</v>
      </c>
      <c r="C146" s="41" t="s">
        <v>322</v>
      </c>
      <c r="D146" s="41" t="s">
        <v>399</v>
      </c>
      <c r="E146" s="42">
        <v>14.96</v>
      </c>
      <c r="F146" s="42"/>
      <c r="G146" s="42">
        <f>ROUND(E146*AE146,2)</f>
        <v>0</v>
      </c>
      <c r="H146" s="42">
        <f>I146-G146</f>
        <v>0</v>
      </c>
      <c r="I146" s="42">
        <f>ROUND(E146*F146,2)</f>
        <v>0</v>
      </c>
      <c r="J146" s="42">
        <v>0.03033</v>
      </c>
      <c r="K146" s="42">
        <f>E146*J146</f>
        <v>0.4537368</v>
      </c>
      <c r="L146" s="43" t="s">
        <v>426</v>
      </c>
      <c r="N146" s="6" t="s">
        <v>9</v>
      </c>
      <c r="O146" s="3">
        <f>IF(N146="5",H146,0)</f>
        <v>0</v>
      </c>
      <c r="Z146" s="3">
        <f>IF(AD146=0,I146,0)</f>
        <v>0</v>
      </c>
      <c r="AA146" s="3">
        <f>IF(AD146=15,I146,0)</f>
        <v>0</v>
      </c>
      <c r="AB146" s="3">
        <f>IF(AD146=21,I146,0)</f>
        <v>0</v>
      </c>
      <c r="AD146" s="10">
        <v>21</v>
      </c>
      <c r="AE146" s="10">
        <f>F146*0.983865819888183</f>
        <v>0</v>
      </c>
      <c r="AF146" s="10">
        <f>F146*(1-0.983865819888183)</f>
        <v>0</v>
      </c>
    </row>
    <row r="147" spans="1:12" ht="12.75">
      <c r="A147" s="23"/>
      <c r="B147" s="23"/>
      <c r="C147" s="44" t="s">
        <v>323</v>
      </c>
      <c r="D147" s="23"/>
      <c r="E147" s="45">
        <v>14.96</v>
      </c>
      <c r="F147" s="23"/>
      <c r="G147" s="23"/>
      <c r="H147" s="23"/>
      <c r="I147" s="23"/>
      <c r="J147" s="23"/>
      <c r="K147" s="23"/>
      <c r="L147" s="23"/>
    </row>
    <row r="148" spans="1:32" ht="12.75">
      <c r="A148" s="41" t="s">
        <v>65</v>
      </c>
      <c r="B148" s="41" t="s">
        <v>171</v>
      </c>
      <c r="C148" s="41" t="s">
        <v>324</v>
      </c>
      <c r="D148" s="41" t="s">
        <v>399</v>
      </c>
      <c r="E148" s="42">
        <v>7.48</v>
      </c>
      <c r="F148" s="42"/>
      <c r="G148" s="42">
        <f>ROUND(E148*AE148,2)</f>
        <v>0</v>
      </c>
      <c r="H148" s="42">
        <f>I148-G148</f>
        <v>0</v>
      </c>
      <c r="I148" s="42">
        <f>ROUND(E148*F148,2)</f>
        <v>0</v>
      </c>
      <c r="J148" s="42">
        <v>0.03033</v>
      </c>
      <c r="K148" s="42">
        <f>E148*J148</f>
        <v>0.2268684</v>
      </c>
      <c r="L148" s="43" t="s">
        <v>426</v>
      </c>
      <c r="N148" s="6" t="s">
        <v>9</v>
      </c>
      <c r="O148" s="3">
        <f>IF(N148="5",H148,0)</f>
        <v>0</v>
      </c>
      <c r="Z148" s="3">
        <f>IF(AD148=0,I148,0)</f>
        <v>0</v>
      </c>
      <c r="AA148" s="3">
        <f>IF(AD148=15,I148,0)</f>
        <v>0</v>
      </c>
      <c r="AB148" s="3">
        <f>IF(AD148=21,I148,0)</f>
        <v>0</v>
      </c>
      <c r="AD148" s="10">
        <v>21</v>
      </c>
      <c r="AE148" s="10">
        <f>F148*0.983865819888183</f>
        <v>0</v>
      </c>
      <c r="AF148" s="10">
        <f>F148*(1-0.983865819888183)</f>
        <v>0</v>
      </c>
    </row>
    <row r="149" spans="1:12" ht="12.75">
      <c r="A149" s="23"/>
      <c r="B149" s="23"/>
      <c r="C149" s="44" t="s">
        <v>325</v>
      </c>
      <c r="D149" s="23"/>
      <c r="E149" s="45">
        <v>7.48</v>
      </c>
      <c r="F149" s="23"/>
      <c r="G149" s="23"/>
      <c r="H149" s="23"/>
      <c r="I149" s="23"/>
      <c r="J149" s="23"/>
      <c r="K149" s="23"/>
      <c r="L149" s="23"/>
    </row>
    <row r="150" spans="1:32" ht="12.75">
      <c r="A150" s="41" t="s">
        <v>66</v>
      </c>
      <c r="B150" s="41" t="s">
        <v>172</v>
      </c>
      <c r="C150" s="41" t="s">
        <v>326</v>
      </c>
      <c r="D150" s="41" t="s">
        <v>403</v>
      </c>
      <c r="E150" s="42">
        <v>4</v>
      </c>
      <c r="F150" s="42"/>
      <c r="G150" s="42">
        <f>ROUND(E150*AE150,2)</f>
        <v>0</v>
      </c>
      <c r="H150" s="42">
        <f>I150-G150</f>
        <v>0</v>
      </c>
      <c r="I150" s="42">
        <f>ROUND(E150*F150,2)</f>
        <v>0</v>
      </c>
      <c r="J150" s="42">
        <v>0</v>
      </c>
      <c r="K150" s="42">
        <f>E150*J150</f>
        <v>0</v>
      </c>
      <c r="L150" s="43" t="s">
        <v>426</v>
      </c>
      <c r="N150" s="6" t="s">
        <v>7</v>
      </c>
      <c r="O150" s="3">
        <f>IF(N150="5",H150,0)</f>
        <v>0</v>
      </c>
      <c r="Z150" s="3">
        <f>IF(AD150=0,I150,0)</f>
        <v>0</v>
      </c>
      <c r="AA150" s="3">
        <f>IF(AD150=15,I150,0)</f>
        <v>0</v>
      </c>
      <c r="AB150" s="3">
        <f>IF(AD150=21,I150,0)</f>
        <v>0</v>
      </c>
      <c r="AD150" s="10">
        <v>21</v>
      </c>
      <c r="AE150" s="10">
        <f>F150*0.0293819578320138</f>
        <v>0</v>
      </c>
      <c r="AF150" s="10">
        <f>F150*(1-0.0293819578320138)</f>
        <v>0</v>
      </c>
    </row>
    <row r="151" spans="1:12" ht="12.75">
      <c r="A151" s="23"/>
      <c r="B151" s="23"/>
      <c r="C151" s="44" t="s">
        <v>10</v>
      </c>
      <c r="D151" s="23"/>
      <c r="E151" s="45">
        <v>4</v>
      </c>
      <c r="F151" s="23"/>
      <c r="G151" s="23"/>
      <c r="H151" s="23"/>
      <c r="I151" s="23"/>
      <c r="J151" s="23"/>
      <c r="K151" s="23"/>
      <c r="L151" s="23"/>
    </row>
    <row r="152" spans="1:32" ht="12.75">
      <c r="A152" s="50" t="s">
        <v>67</v>
      </c>
      <c r="B152" s="50" t="s">
        <v>173</v>
      </c>
      <c r="C152" s="50" t="s">
        <v>327</v>
      </c>
      <c r="D152" s="50" t="s">
        <v>403</v>
      </c>
      <c r="E152" s="51">
        <v>1</v>
      </c>
      <c r="F152" s="51"/>
      <c r="G152" s="51">
        <f>ROUND(E152*AE152,2)</f>
        <v>0</v>
      </c>
      <c r="H152" s="51">
        <f>I152-G152</f>
        <v>0</v>
      </c>
      <c r="I152" s="51">
        <f>ROUND(E152*F152,2)</f>
        <v>0</v>
      </c>
      <c r="J152" s="51">
        <v>0.044</v>
      </c>
      <c r="K152" s="51">
        <f>E152*J152</f>
        <v>0.044</v>
      </c>
      <c r="L152" s="52" t="s">
        <v>427</v>
      </c>
      <c r="N152" s="7" t="s">
        <v>428</v>
      </c>
      <c r="O152" s="4">
        <f>IF(N152="5",H152,0)</f>
        <v>0</v>
      </c>
      <c r="Z152" s="4">
        <f>IF(AD152=0,I152,0)</f>
        <v>0</v>
      </c>
      <c r="AA152" s="4">
        <f>IF(AD152=15,I152,0)</f>
        <v>0</v>
      </c>
      <c r="AB152" s="4">
        <f>IF(AD152=21,I152,0)</f>
        <v>0</v>
      </c>
      <c r="AD152" s="10">
        <v>21</v>
      </c>
      <c r="AE152" s="10">
        <f>F152*1</f>
        <v>0</v>
      </c>
      <c r="AF152" s="10">
        <f>F152*(1-1)</f>
        <v>0</v>
      </c>
    </row>
    <row r="153" spans="1:12" ht="12.75">
      <c r="A153" s="23"/>
      <c r="B153" s="23"/>
      <c r="C153" s="53" t="s">
        <v>7</v>
      </c>
      <c r="D153" s="23"/>
      <c r="E153" s="54">
        <v>1</v>
      </c>
      <c r="F153" s="23"/>
      <c r="G153" s="23"/>
      <c r="H153" s="23"/>
      <c r="I153" s="23"/>
      <c r="J153" s="23"/>
      <c r="K153" s="23"/>
      <c r="L153" s="23"/>
    </row>
    <row r="154" spans="1:32" ht="12.75">
      <c r="A154" s="50" t="s">
        <v>68</v>
      </c>
      <c r="B154" s="50" t="s">
        <v>173</v>
      </c>
      <c r="C154" s="50" t="s">
        <v>328</v>
      </c>
      <c r="D154" s="50" t="s">
        <v>403</v>
      </c>
      <c r="E154" s="51">
        <v>1</v>
      </c>
      <c r="F154" s="51"/>
      <c r="G154" s="51">
        <f>ROUND(E154*AE154,2)</f>
        <v>0</v>
      </c>
      <c r="H154" s="51">
        <f>I154-G154</f>
        <v>0</v>
      </c>
      <c r="I154" s="51">
        <f>ROUND(E154*F154,2)</f>
        <v>0</v>
      </c>
      <c r="J154" s="51">
        <v>0.044</v>
      </c>
      <c r="K154" s="51">
        <f>E154*J154</f>
        <v>0.044</v>
      </c>
      <c r="L154" s="52" t="s">
        <v>427</v>
      </c>
      <c r="N154" s="7" t="s">
        <v>428</v>
      </c>
      <c r="O154" s="4">
        <f>IF(N154="5",H154,0)</f>
        <v>0</v>
      </c>
      <c r="Z154" s="4">
        <f>IF(AD154=0,I154,0)</f>
        <v>0</v>
      </c>
      <c r="AA154" s="4">
        <f>IF(AD154=15,I154,0)</f>
        <v>0</v>
      </c>
      <c r="AB154" s="4">
        <f>IF(AD154=21,I154,0)</f>
        <v>0</v>
      </c>
      <c r="AD154" s="10">
        <v>21</v>
      </c>
      <c r="AE154" s="10">
        <f>F154*1</f>
        <v>0</v>
      </c>
      <c r="AF154" s="10">
        <f>F154*(1-1)</f>
        <v>0</v>
      </c>
    </row>
    <row r="155" spans="1:12" ht="12.75">
      <c r="A155" s="23"/>
      <c r="B155" s="23"/>
      <c r="C155" s="53" t="s">
        <v>7</v>
      </c>
      <c r="D155" s="23"/>
      <c r="E155" s="54">
        <v>1</v>
      </c>
      <c r="F155" s="23"/>
      <c r="G155" s="23"/>
      <c r="H155" s="23"/>
      <c r="I155" s="23"/>
      <c r="J155" s="23"/>
      <c r="K155" s="23"/>
      <c r="L155" s="23"/>
    </row>
    <row r="156" spans="1:32" ht="12.75">
      <c r="A156" s="50" t="s">
        <v>69</v>
      </c>
      <c r="B156" s="50" t="s">
        <v>173</v>
      </c>
      <c r="C156" s="50" t="s">
        <v>329</v>
      </c>
      <c r="D156" s="50" t="s">
        <v>403</v>
      </c>
      <c r="E156" s="51">
        <v>1</v>
      </c>
      <c r="F156" s="51"/>
      <c r="G156" s="51">
        <f>ROUND(E156*AE156,2)</f>
        <v>0</v>
      </c>
      <c r="H156" s="51">
        <f>I156-G156</f>
        <v>0</v>
      </c>
      <c r="I156" s="51">
        <f>ROUND(E156*F156,2)</f>
        <v>0</v>
      </c>
      <c r="J156" s="51">
        <v>0.044</v>
      </c>
      <c r="K156" s="51">
        <f>E156*J156</f>
        <v>0.044</v>
      </c>
      <c r="L156" s="52" t="s">
        <v>427</v>
      </c>
      <c r="N156" s="7" t="s">
        <v>428</v>
      </c>
      <c r="O156" s="4">
        <f>IF(N156="5",H156,0)</f>
        <v>0</v>
      </c>
      <c r="Z156" s="4">
        <f>IF(AD156=0,I156,0)</f>
        <v>0</v>
      </c>
      <c r="AA156" s="4">
        <f>IF(AD156=15,I156,0)</f>
        <v>0</v>
      </c>
      <c r="AB156" s="4">
        <f>IF(AD156=21,I156,0)</f>
        <v>0</v>
      </c>
      <c r="AD156" s="10">
        <v>21</v>
      </c>
      <c r="AE156" s="10">
        <f>F156*1</f>
        <v>0</v>
      </c>
      <c r="AF156" s="10">
        <f>F156*(1-1)</f>
        <v>0</v>
      </c>
    </row>
    <row r="157" spans="1:12" ht="12.75">
      <c r="A157" s="23"/>
      <c r="B157" s="23"/>
      <c r="C157" s="53" t="s">
        <v>7</v>
      </c>
      <c r="D157" s="23"/>
      <c r="E157" s="54">
        <v>1</v>
      </c>
      <c r="F157" s="23"/>
      <c r="G157" s="23"/>
      <c r="H157" s="23"/>
      <c r="I157" s="23"/>
      <c r="J157" s="23"/>
      <c r="K157" s="23"/>
      <c r="L157" s="23"/>
    </row>
    <row r="158" spans="1:32" ht="12.75">
      <c r="A158" s="41" t="s">
        <v>70</v>
      </c>
      <c r="B158" s="41" t="s">
        <v>174</v>
      </c>
      <c r="C158" s="41" t="s">
        <v>330</v>
      </c>
      <c r="D158" s="41" t="s">
        <v>400</v>
      </c>
      <c r="E158" s="42">
        <v>9.34618</v>
      </c>
      <c r="F158" s="42"/>
      <c r="G158" s="42">
        <f>ROUND(E158*AE158,2)</f>
        <v>0</v>
      </c>
      <c r="H158" s="42">
        <f>I158-G158</f>
        <v>0</v>
      </c>
      <c r="I158" s="42">
        <f>ROUND(E158*F158,2)</f>
        <v>0</v>
      </c>
      <c r="J158" s="42">
        <v>0</v>
      </c>
      <c r="K158" s="42">
        <f>E158*J158</f>
        <v>0</v>
      </c>
      <c r="L158" s="43" t="s">
        <v>426</v>
      </c>
      <c r="N158" s="6" t="s">
        <v>11</v>
      </c>
      <c r="O158" s="3">
        <f>IF(N158="5",H158,0)</f>
        <v>0</v>
      </c>
      <c r="Z158" s="3">
        <f>IF(AD158=0,I158,0)</f>
        <v>0</v>
      </c>
      <c r="AA158" s="3">
        <f>IF(AD158=15,I158,0)</f>
        <v>0</v>
      </c>
      <c r="AB158" s="3">
        <f>IF(AD158=21,I158,0)</f>
        <v>0</v>
      </c>
      <c r="AD158" s="10">
        <v>21</v>
      </c>
      <c r="AE158" s="10">
        <f>F158*0</f>
        <v>0</v>
      </c>
      <c r="AF158" s="10">
        <f>F158*(1-0)</f>
        <v>0</v>
      </c>
    </row>
    <row r="159" spans="1:37" ht="12.75">
      <c r="A159" s="46"/>
      <c r="B159" s="47" t="s">
        <v>175</v>
      </c>
      <c r="C159" s="103" t="s">
        <v>331</v>
      </c>
      <c r="D159" s="104"/>
      <c r="E159" s="104"/>
      <c r="F159" s="104"/>
      <c r="G159" s="48">
        <f>SUM(G160:G164)</f>
        <v>0</v>
      </c>
      <c r="H159" s="48">
        <f>SUM(H160:H164)</f>
        <v>0</v>
      </c>
      <c r="I159" s="48">
        <f>G159+H159</f>
        <v>0</v>
      </c>
      <c r="J159" s="49"/>
      <c r="K159" s="48">
        <f>SUM(K160:K164)</f>
        <v>0.3209</v>
      </c>
      <c r="L159" s="49"/>
      <c r="P159" s="11">
        <f>IF(Q159="PR",I159,SUM(O160:O164))</f>
        <v>0</v>
      </c>
      <c r="Q159" s="5" t="s">
        <v>432</v>
      </c>
      <c r="R159" s="11">
        <f>IF(Q159="HS",G159,0)</f>
        <v>0</v>
      </c>
      <c r="S159" s="11">
        <f>IF(Q159="HS",H159-P159,0)</f>
        <v>0</v>
      </c>
      <c r="T159" s="11">
        <f>IF(Q159="PS",G159,0)</f>
        <v>0</v>
      </c>
      <c r="U159" s="11">
        <f>IF(Q159="PS",H159-P159,0)</f>
        <v>0</v>
      </c>
      <c r="V159" s="11">
        <f>IF(Q159="MP",G159,0)</f>
        <v>0</v>
      </c>
      <c r="W159" s="11">
        <f>IF(Q159="MP",H159-P159,0)</f>
        <v>0</v>
      </c>
      <c r="X159" s="11">
        <f>IF(Q159="OM",G159,0)</f>
        <v>0</v>
      </c>
      <c r="Y159" s="5"/>
      <c r="AI159" s="11">
        <f>SUM(Z160:Z164)</f>
        <v>0</v>
      </c>
      <c r="AJ159" s="11">
        <f>SUM(AA160:AA164)</f>
        <v>0</v>
      </c>
      <c r="AK159" s="11">
        <f>SUM(AB160:AB164)</f>
        <v>0</v>
      </c>
    </row>
    <row r="160" spans="1:32" ht="12.75">
      <c r="A160" s="41" t="s">
        <v>71</v>
      </c>
      <c r="B160" s="41" t="s">
        <v>176</v>
      </c>
      <c r="C160" s="41" t="s">
        <v>332</v>
      </c>
      <c r="D160" s="41" t="s">
        <v>403</v>
      </c>
      <c r="E160" s="42">
        <v>1</v>
      </c>
      <c r="F160" s="42"/>
      <c r="G160" s="42">
        <f>ROUND(E160*AE160,2)</f>
        <v>0</v>
      </c>
      <c r="H160" s="42">
        <f>I160-G160</f>
        <v>0</v>
      </c>
      <c r="I160" s="42">
        <f>ROUND(E160*F160,2)</f>
        <v>0</v>
      </c>
      <c r="J160" s="42">
        <v>0.0004</v>
      </c>
      <c r="K160" s="42">
        <f>E160*J160</f>
        <v>0.0004</v>
      </c>
      <c r="L160" s="43" t="s">
        <v>426</v>
      </c>
      <c r="N160" s="6" t="s">
        <v>7</v>
      </c>
      <c r="O160" s="3">
        <f>IF(N160="5",H160,0)</f>
        <v>0</v>
      </c>
      <c r="Z160" s="3">
        <f>IF(AD160=0,I160,0)</f>
        <v>0</v>
      </c>
      <c r="AA160" s="3">
        <f>IF(AD160=15,I160,0)</f>
        <v>0</v>
      </c>
      <c r="AB160" s="3">
        <f>IF(AD160=21,I160,0)</f>
        <v>0</v>
      </c>
      <c r="AD160" s="10">
        <v>21</v>
      </c>
      <c r="AE160" s="10">
        <f>F160*0.040959442121037</f>
        <v>0</v>
      </c>
      <c r="AF160" s="10">
        <f>F160*(1-0.040959442121037)</f>
        <v>0</v>
      </c>
    </row>
    <row r="161" spans="1:12" ht="12.75">
      <c r="A161" s="23"/>
      <c r="B161" s="23"/>
      <c r="C161" s="44" t="s">
        <v>7</v>
      </c>
      <c r="D161" s="23"/>
      <c r="E161" s="45">
        <v>1</v>
      </c>
      <c r="F161" s="23"/>
      <c r="G161" s="23"/>
      <c r="H161" s="23"/>
      <c r="I161" s="23"/>
      <c r="J161" s="23"/>
      <c r="K161" s="23"/>
      <c r="L161" s="23"/>
    </row>
    <row r="162" spans="1:32" ht="12.75">
      <c r="A162" s="50" t="s">
        <v>72</v>
      </c>
      <c r="B162" s="50" t="s">
        <v>177</v>
      </c>
      <c r="C162" s="50" t="s">
        <v>333</v>
      </c>
      <c r="D162" s="50" t="s">
        <v>403</v>
      </c>
      <c r="E162" s="51">
        <v>1</v>
      </c>
      <c r="F162" s="51"/>
      <c r="G162" s="51">
        <f>ROUND(E162*AE162,2)</f>
        <v>0</v>
      </c>
      <c r="H162" s="51">
        <f>I162-G162</f>
        <v>0</v>
      </c>
      <c r="I162" s="51">
        <f>ROUND(E162*F162,2)</f>
        <v>0</v>
      </c>
      <c r="J162" s="51">
        <v>0.3205</v>
      </c>
      <c r="K162" s="51">
        <f>E162*J162</f>
        <v>0.3205</v>
      </c>
      <c r="L162" s="52" t="s">
        <v>427</v>
      </c>
      <c r="N162" s="7" t="s">
        <v>428</v>
      </c>
      <c r="O162" s="4">
        <f>IF(N162="5",H162,0)</f>
        <v>0</v>
      </c>
      <c r="Z162" s="4">
        <f>IF(AD162=0,I162,0)</f>
        <v>0</v>
      </c>
      <c r="AA162" s="4">
        <f>IF(AD162=15,I162,0)</f>
        <v>0</v>
      </c>
      <c r="AB162" s="4">
        <f>IF(AD162=21,I162,0)</f>
        <v>0</v>
      </c>
      <c r="AD162" s="10">
        <v>21</v>
      </c>
      <c r="AE162" s="10">
        <f>F162*1</f>
        <v>0</v>
      </c>
      <c r="AF162" s="10">
        <f>F162*(1-1)</f>
        <v>0</v>
      </c>
    </row>
    <row r="163" spans="1:12" ht="12.75">
      <c r="A163" s="23"/>
      <c r="B163" s="23"/>
      <c r="C163" s="53" t="s">
        <v>7</v>
      </c>
      <c r="D163" s="23"/>
      <c r="E163" s="54">
        <v>1</v>
      </c>
      <c r="F163" s="23"/>
      <c r="G163" s="23"/>
      <c r="H163" s="23"/>
      <c r="I163" s="23"/>
      <c r="J163" s="23"/>
      <c r="K163" s="23"/>
      <c r="L163" s="23"/>
    </row>
    <row r="164" spans="1:32" ht="12.75">
      <c r="A164" s="41" t="s">
        <v>73</v>
      </c>
      <c r="B164" s="41" t="s">
        <v>178</v>
      </c>
      <c r="C164" s="41" t="s">
        <v>334</v>
      </c>
      <c r="D164" s="41" t="s">
        <v>400</v>
      </c>
      <c r="E164" s="42">
        <v>0.3209</v>
      </c>
      <c r="F164" s="42"/>
      <c r="G164" s="42">
        <f>ROUND(E164*AE164,2)</f>
        <v>0</v>
      </c>
      <c r="H164" s="42">
        <f>I164-G164</f>
        <v>0</v>
      </c>
      <c r="I164" s="42">
        <f>ROUND(E164*F164,2)</f>
        <v>0</v>
      </c>
      <c r="J164" s="42">
        <v>0</v>
      </c>
      <c r="K164" s="42">
        <f>E164*J164</f>
        <v>0</v>
      </c>
      <c r="L164" s="43" t="s">
        <v>426</v>
      </c>
      <c r="N164" s="6" t="s">
        <v>11</v>
      </c>
      <c r="O164" s="3">
        <f>IF(N164="5",H164,0)</f>
        <v>0</v>
      </c>
      <c r="Z164" s="3">
        <f>IF(AD164=0,I164,0)</f>
        <v>0</v>
      </c>
      <c r="AA164" s="3">
        <f>IF(AD164=15,I164,0)</f>
        <v>0</v>
      </c>
      <c r="AB164" s="3">
        <f>IF(AD164=21,I164,0)</f>
        <v>0</v>
      </c>
      <c r="AD164" s="10">
        <v>21</v>
      </c>
      <c r="AE164" s="10">
        <f>F164*0</f>
        <v>0</v>
      </c>
      <c r="AF164" s="10">
        <f>F164*(1-0)</f>
        <v>0</v>
      </c>
    </row>
    <row r="165" spans="1:37" ht="12.75">
      <c r="A165" s="46"/>
      <c r="B165" s="47" t="s">
        <v>179</v>
      </c>
      <c r="C165" s="103" t="s">
        <v>335</v>
      </c>
      <c r="D165" s="104"/>
      <c r="E165" s="104"/>
      <c r="F165" s="104"/>
      <c r="G165" s="48">
        <f>SUM(G166:G168)</f>
        <v>0</v>
      </c>
      <c r="H165" s="48">
        <f>SUM(H166:H168)</f>
        <v>0</v>
      </c>
      <c r="I165" s="48">
        <f>G165+H165</f>
        <v>0</v>
      </c>
      <c r="J165" s="49"/>
      <c r="K165" s="48">
        <f>SUM(K166:K168)</f>
        <v>0.1461328</v>
      </c>
      <c r="L165" s="49"/>
      <c r="P165" s="11">
        <f>IF(Q165="PR",I165,SUM(O166:O168))</f>
        <v>0</v>
      </c>
      <c r="Q165" s="5" t="s">
        <v>432</v>
      </c>
      <c r="R165" s="11">
        <f>IF(Q165="HS",G165,0)</f>
        <v>0</v>
      </c>
      <c r="S165" s="11">
        <f>IF(Q165="HS",H165-P165,0)</f>
        <v>0</v>
      </c>
      <c r="T165" s="11">
        <f>IF(Q165="PS",G165,0)</f>
        <v>0</v>
      </c>
      <c r="U165" s="11">
        <f>IF(Q165="PS",H165-P165,0)</f>
        <v>0</v>
      </c>
      <c r="V165" s="11">
        <f>IF(Q165="MP",G165,0)</f>
        <v>0</v>
      </c>
      <c r="W165" s="11">
        <f>IF(Q165="MP",H165-P165,0)</f>
        <v>0</v>
      </c>
      <c r="X165" s="11">
        <f>IF(Q165="OM",G165,0)</f>
        <v>0</v>
      </c>
      <c r="Y165" s="5"/>
      <c r="AI165" s="11">
        <f>SUM(Z166:Z168)</f>
        <v>0</v>
      </c>
      <c r="AJ165" s="11">
        <f>SUM(AA166:AA168)</f>
        <v>0</v>
      </c>
      <c r="AK165" s="11">
        <f>SUM(AB166:AB168)</f>
        <v>0</v>
      </c>
    </row>
    <row r="166" spans="1:32" ht="12.75">
      <c r="A166" s="41" t="s">
        <v>74</v>
      </c>
      <c r="B166" s="41" t="s">
        <v>180</v>
      </c>
      <c r="C166" s="41" t="s">
        <v>336</v>
      </c>
      <c r="D166" s="41" t="s">
        <v>399</v>
      </c>
      <c r="E166" s="42">
        <v>635.36</v>
      </c>
      <c r="F166" s="42"/>
      <c r="G166" s="42">
        <f>ROUND(E166*AE166,2)</f>
        <v>0</v>
      </c>
      <c r="H166" s="42">
        <f>I166-G166</f>
        <v>0</v>
      </c>
      <c r="I166" s="42">
        <f>ROUND(E166*F166,2)</f>
        <v>0</v>
      </c>
      <c r="J166" s="42">
        <v>7E-05</v>
      </c>
      <c r="K166" s="42">
        <f>E166*J166</f>
        <v>0.0444752</v>
      </c>
      <c r="L166" s="43" t="s">
        <v>426</v>
      </c>
      <c r="N166" s="6" t="s">
        <v>7</v>
      </c>
      <c r="O166" s="3">
        <f>IF(N166="5",H166,0)</f>
        <v>0</v>
      </c>
      <c r="Z166" s="3">
        <f>IF(AD166=0,I166,0)</f>
        <v>0</v>
      </c>
      <c r="AA166" s="3">
        <f>IF(AD166=15,I166,0)</f>
        <v>0</v>
      </c>
      <c r="AB166" s="3">
        <f>IF(AD166=21,I166,0)</f>
        <v>0</v>
      </c>
      <c r="AD166" s="10">
        <v>21</v>
      </c>
      <c r="AE166" s="10">
        <f>F166*0.213709677419355</f>
        <v>0</v>
      </c>
      <c r="AF166" s="10">
        <f>F166*(1-0.213709677419355)</f>
        <v>0</v>
      </c>
    </row>
    <row r="167" spans="1:12" ht="12.75">
      <c r="A167" s="23"/>
      <c r="B167" s="23"/>
      <c r="C167" s="44" t="s">
        <v>337</v>
      </c>
      <c r="D167" s="23"/>
      <c r="E167" s="45">
        <v>635.36</v>
      </c>
      <c r="F167" s="23"/>
      <c r="G167" s="23"/>
      <c r="H167" s="23"/>
      <c r="I167" s="23"/>
      <c r="J167" s="23"/>
      <c r="K167" s="23"/>
      <c r="L167" s="23"/>
    </row>
    <row r="168" spans="1:32" ht="12.75">
      <c r="A168" s="41" t="s">
        <v>75</v>
      </c>
      <c r="B168" s="41" t="s">
        <v>181</v>
      </c>
      <c r="C168" s="41" t="s">
        <v>338</v>
      </c>
      <c r="D168" s="41" t="s">
        <v>399</v>
      </c>
      <c r="E168" s="42">
        <v>635.36</v>
      </c>
      <c r="F168" s="42"/>
      <c r="G168" s="42">
        <f>ROUND(E168*AE168,2)</f>
        <v>0</v>
      </c>
      <c r="H168" s="42">
        <f>I168-G168</f>
        <v>0</v>
      </c>
      <c r="I168" s="42">
        <f>ROUND(E168*F168,2)</f>
        <v>0</v>
      </c>
      <c r="J168" s="42">
        <v>0.00016</v>
      </c>
      <c r="K168" s="42">
        <f>E168*J168</f>
        <v>0.10165760000000001</v>
      </c>
      <c r="L168" s="43" t="s">
        <v>426</v>
      </c>
      <c r="N168" s="6" t="s">
        <v>7</v>
      </c>
      <c r="O168" s="3">
        <f>IF(N168="5",H168,0)</f>
        <v>0</v>
      </c>
      <c r="Z168" s="3">
        <f>IF(AD168=0,I168,0)</f>
        <v>0</v>
      </c>
      <c r="AA168" s="3">
        <f>IF(AD168=15,I168,0)</f>
        <v>0</v>
      </c>
      <c r="AB168" s="3">
        <f>IF(AD168=21,I168,0)</f>
        <v>0</v>
      </c>
      <c r="AD168" s="10">
        <v>21</v>
      </c>
      <c r="AE168" s="10">
        <f>F168*0.102046783625731</f>
        <v>0</v>
      </c>
      <c r="AF168" s="10">
        <f>F168*(1-0.102046783625731)</f>
        <v>0</v>
      </c>
    </row>
    <row r="169" spans="1:12" ht="12.75">
      <c r="A169" s="23"/>
      <c r="B169" s="23"/>
      <c r="C169" s="44" t="s">
        <v>339</v>
      </c>
      <c r="D169" s="23"/>
      <c r="E169" s="45">
        <v>635.36</v>
      </c>
      <c r="F169" s="23"/>
      <c r="G169" s="23"/>
      <c r="H169" s="23"/>
      <c r="I169" s="23"/>
      <c r="J169" s="23"/>
      <c r="K169" s="23"/>
      <c r="L169" s="23"/>
    </row>
    <row r="170" spans="1:37" ht="12.75">
      <c r="A170" s="46"/>
      <c r="B170" s="47" t="s">
        <v>100</v>
      </c>
      <c r="C170" s="103" t="s">
        <v>340</v>
      </c>
      <c r="D170" s="104"/>
      <c r="E170" s="104"/>
      <c r="F170" s="104"/>
      <c r="G170" s="48">
        <f>SUM(G171:G189)</f>
        <v>0</v>
      </c>
      <c r="H170" s="48">
        <f>SUM(H171:H189)</f>
        <v>0</v>
      </c>
      <c r="I170" s="48">
        <f>G170+H170</f>
        <v>0</v>
      </c>
      <c r="J170" s="49"/>
      <c r="K170" s="48">
        <f>SUM(K171:K189)</f>
        <v>156.42266</v>
      </c>
      <c r="L170" s="49"/>
      <c r="P170" s="11">
        <f>IF(Q170="PR",I170,SUM(O171:O189))</f>
        <v>0</v>
      </c>
      <c r="Q170" s="5" t="s">
        <v>431</v>
      </c>
      <c r="R170" s="11">
        <f>IF(Q170="HS",G170,0)</f>
        <v>0</v>
      </c>
      <c r="S170" s="11">
        <f>IF(Q170="HS",H170-P170,0)</f>
        <v>0</v>
      </c>
      <c r="T170" s="11">
        <f>IF(Q170="PS",G170,0)</f>
        <v>0</v>
      </c>
      <c r="U170" s="11">
        <f>IF(Q170="PS",H170-P170,0)</f>
        <v>0</v>
      </c>
      <c r="V170" s="11">
        <f>IF(Q170="MP",G170,0)</f>
        <v>0</v>
      </c>
      <c r="W170" s="11">
        <f>IF(Q170="MP",H170-P170,0)</f>
        <v>0</v>
      </c>
      <c r="X170" s="11">
        <f>IF(Q170="OM",G170,0)</f>
        <v>0</v>
      </c>
      <c r="Y170" s="5"/>
      <c r="AI170" s="11">
        <f>SUM(Z171:Z189)</f>
        <v>0</v>
      </c>
      <c r="AJ170" s="11">
        <f>SUM(AA171:AA189)</f>
        <v>0</v>
      </c>
      <c r="AK170" s="11">
        <f>SUM(AB171:AB189)</f>
        <v>0</v>
      </c>
    </row>
    <row r="171" spans="1:32" ht="12.75">
      <c r="A171" s="41" t="s">
        <v>76</v>
      </c>
      <c r="B171" s="41" t="s">
        <v>182</v>
      </c>
      <c r="C171" s="41" t="s">
        <v>341</v>
      </c>
      <c r="D171" s="41" t="s">
        <v>399</v>
      </c>
      <c r="E171" s="42">
        <v>4021</v>
      </c>
      <c r="F171" s="42"/>
      <c r="G171" s="42">
        <f>ROUND(E171*AE171,2)</f>
        <v>0</v>
      </c>
      <c r="H171" s="42">
        <f>I171-G171</f>
        <v>0</v>
      </c>
      <c r="I171" s="42">
        <f>ROUND(E171*F171,2)</f>
        <v>0</v>
      </c>
      <c r="J171" s="42">
        <v>0.03338</v>
      </c>
      <c r="K171" s="42">
        <f>E171*J171</f>
        <v>134.22098</v>
      </c>
      <c r="L171" s="43" t="s">
        <v>426</v>
      </c>
      <c r="N171" s="6" t="s">
        <v>7</v>
      </c>
      <c r="O171" s="3">
        <f>IF(N171="5",H171,0)</f>
        <v>0</v>
      </c>
      <c r="Z171" s="3">
        <f>IF(AD171=0,I171,0)</f>
        <v>0</v>
      </c>
      <c r="AA171" s="3">
        <f>IF(AD171=15,I171,0)</f>
        <v>0</v>
      </c>
      <c r="AB171" s="3">
        <f>IF(AD171=21,I171,0)</f>
        <v>0</v>
      </c>
      <c r="AD171" s="10">
        <v>21</v>
      </c>
      <c r="AE171" s="10">
        <f>F171*0.000218292949137743</f>
        <v>0</v>
      </c>
      <c r="AF171" s="10">
        <f>F171*(1-0.000218292949137743)</f>
        <v>0</v>
      </c>
    </row>
    <row r="172" spans="1:12" ht="12.75">
      <c r="A172" s="23"/>
      <c r="B172" s="23"/>
      <c r="C172" s="44" t="s">
        <v>342</v>
      </c>
      <c r="D172" s="23"/>
      <c r="E172" s="45">
        <v>4021</v>
      </c>
      <c r="F172" s="23"/>
      <c r="G172" s="23"/>
      <c r="H172" s="23"/>
      <c r="I172" s="23"/>
      <c r="J172" s="23"/>
      <c r="K172" s="23"/>
      <c r="L172" s="23"/>
    </row>
    <row r="173" spans="1:32" ht="12.75">
      <c r="A173" s="41" t="s">
        <v>77</v>
      </c>
      <c r="B173" s="41" t="s">
        <v>183</v>
      </c>
      <c r="C173" s="41" t="s">
        <v>343</v>
      </c>
      <c r="D173" s="41" t="s">
        <v>399</v>
      </c>
      <c r="E173" s="42">
        <v>12063</v>
      </c>
      <c r="F173" s="42"/>
      <c r="G173" s="42">
        <f>ROUND(E173*AE173,2)</f>
        <v>0</v>
      </c>
      <c r="H173" s="42">
        <f>I173-G173</f>
        <v>0</v>
      </c>
      <c r="I173" s="42">
        <f>ROUND(E173*F173,2)</f>
        <v>0</v>
      </c>
      <c r="J173" s="42">
        <v>0</v>
      </c>
      <c r="K173" s="42">
        <f>E173*J173</f>
        <v>0</v>
      </c>
      <c r="L173" s="43" t="s">
        <v>426</v>
      </c>
      <c r="N173" s="6" t="s">
        <v>7</v>
      </c>
      <c r="O173" s="3">
        <f>IF(N173="5",H173,0)</f>
        <v>0</v>
      </c>
      <c r="Z173" s="3">
        <f>IF(AD173=0,I173,0)</f>
        <v>0</v>
      </c>
      <c r="AA173" s="3">
        <f>IF(AD173=15,I173,0)</f>
        <v>0</v>
      </c>
      <c r="AB173" s="3">
        <f>IF(AD173=21,I173,0)</f>
        <v>0</v>
      </c>
      <c r="AD173" s="10">
        <v>21</v>
      </c>
      <c r="AE173" s="10">
        <f>F173*0.942413458427693</f>
        <v>0</v>
      </c>
      <c r="AF173" s="10">
        <f>F173*(1-0.942413458427693)</f>
        <v>0</v>
      </c>
    </row>
    <row r="174" spans="1:12" ht="12.75">
      <c r="A174" s="23"/>
      <c r="B174" s="23"/>
      <c r="C174" s="44" t="s">
        <v>344</v>
      </c>
      <c r="D174" s="23"/>
      <c r="E174" s="45">
        <v>12063</v>
      </c>
      <c r="F174" s="23"/>
      <c r="G174" s="23"/>
      <c r="H174" s="23"/>
      <c r="I174" s="23"/>
      <c r="J174" s="23"/>
      <c r="K174" s="23"/>
      <c r="L174" s="23"/>
    </row>
    <row r="175" spans="1:32" ht="12.75">
      <c r="A175" s="41" t="s">
        <v>78</v>
      </c>
      <c r="B175" s="41" t="s">
        <v>184</v>
      </c>
      <c r="C175" s="41" t="s">
        <v>345</v>
      </c>
      <c r="D175" s="41" t="s">
        <v>399</v>
      </c>
      <c r="E175" s="42">
        <v>4021</v>
      </c>
      <c r="F175" s="42"/>
      <c r="G175" s="42">
        <f>ROUND(E175*AE175,2)</f>
        <v>0</v>
      </c>
      <c r="H175" s="42">
        <f>I175-G175</f>
        <v>0</v>
      </c>
      <c r="I175" s="42">
        <f>ROUND(E175*F175,2)</f>
        <v>0</v>
      </c>
      <c r="J175" s="42">
        <v>0</v>
      </c>
      <c r="K175" s="42">
        <f>E175*J175</f>
        <v>0</v>
      </c>
      <c r="L175" s="43" t="s">
        <v>426</v>
      </c>
      <c r="N175" s="6" t="s">
        <v>7</v>
      </c>
      <c r="O175" s="3">
        <f>IF(N175="5",H175,0)</f>
        <v>0</v>
      </c>
      <c r="Z175" s="3">
        <f>IF(AD175=0,I175,0)</f>
        <v>0</v>
      </c>
      <c r="AA175" s="3">
        <f>IF(AD175=15,I175,0)</f>
        <v>0</v>
      </c>
      <c r="AB175" s="3">
        <f>IF(AD175=21,I175,0)</f>
        <v>0</v>
      </c>
      <c r="AD175" s="10">
        <v>21</v>
      </c>
      <c r="AE175" s="10">
        <f>F175*0</f>
        <v>0</v>
      </c>
      <c r="AF175" s="10">
        <f>F175*(1-0)</f>
        <v>0</v>
      </c>
    </row>
    <row r="176" spans="1:12" ht="12.75">
      <c r="A176" s="23"/>
      <c r="B176" s="23"/>
      <c r="C176" s="44" t="s">
        <v>346</v>
      </c>
      <c r="D176" s="23"/>
      <c r="E176" s="45">
        <v>4021</v>
      </c>
      <c r="F176" s="23"/>
      <c r="G176" s="23"/>
      <c r="H176" s="23"/>
      <c r="I176" s="23"/>
      <c r="J176" s="23"/>
      <c r="K176" s="23"/>
      <c r="L176" s="23"/>
    </row>
    <row r="177" spans="1:32" ht="12.75">
      <c r="A177" s="41" t="s">
        <v>79</v>
      </c>
      <c r="B177" s="41" t="s">
        <v>185</v>
      </c>
      <c r="C177" s="41" t="s">
        <v>347</v>
      </c>
      <c r="D177" s="41" t="s">
        <v>399</v>
      </c>
      <c r="E177" s="42">
        <v>4021</v>
      </c>
      <c r="F177" s="42"/>
      <c r="G177" s="42">
        <f>ROUND(E177*AE177,2)</f>
        <v>0</v>
      </c>
      <c r="H177" s="42">
        <f>I177-G177</f>
        <v>0</v>
      </c>
      <c r="I177" s="42">
        <f>ROUND(E177*F177,2)</f>
        <v>0</v>
      </c>
      <c r="J177" s="42">
        <v>0</v>
      </c>
      <c r="K177" s="42">
        <f>E177*J177</f>
        <v>0</v>
      </c>
      <c r="L177" s="43" t="s">
        <v>426</v>
      </c>
      <c r="N177" s="6" t="s">
        <v>7</v>
      </c>
      <c r="O177" s="3">
        <f>IF(N177="5",H177,0)</f>
        <v>0</v>
      </c>
      <c r="Z177" s="3">
        <f>IF(AD177=0,I177,0)</f>
        <v>0</v>
      </c>
      <c r="AA177" s="3">
        <f>IF(AD177=15,I177,0)</f>
        <v>0</v>
      </c>
      <c r="AB177" s="3">
        <f>IF(AD177=21,I177,0)</f>
        <v>0</v>
      </c>
      <c r="AD177" s="10">
        <v>21</v>
      </c>
      <c r="AE177" s="10">
        <f>F177*0</f>
        <v>0</v>
      </c>
      <c r="AF177" s="10">
        <f>F177*(1-0)</f>
        <v>0</v>
      </c>
    </row>
    <row r="178" spans="1:12" ht="12.75">
      <c r="A178" s="23"/>
      <c r="B178" s="23"/>
      <c r="C178" s="44" t="s">
        <v>346</v>
      </c>
      <c r="D178" s="23"/>
      <c r="E178" s="45">
        <v>4021</v>
      </c>
      <c r="F178" s="23"/>
      <c r="G178" s="23"/>
      <c r="H178" s="23"/>
      <c r="I178" s="23"/>
      <c r="J178" s="23"/>
      <c r="K178" s="23"/>
      <c r="L178" s="23"/>
    </row>
    <row r="179" spans="1:32" ht="12.75">
      <c r="A179" s="41" t="s">
        <v>80</v>
      </c>
      <c r="B179" s="41" t="s">
        <v>186</v>
      </c>
      <c r="C179" s="41" t="s">
        <v>348</v>
      </c>
      <c r="D179" s="41" t="s">
        <v>399</v>
      </c>
      <c r="E179" s="42">
        <v>12063</v>
      </c>
      <c r="F179" s="42"/>
      <c r="G179" s="42">
        <f>ROUND(E179*AE179,2)</f>
        <v>0</v>
      </c>
      <c r="H179" s="42">
        <f>I179-G179</f>
        <v>0</v>
      </c>
      <c r="I179" s="42">
        <f>ROUND(E179*F179,2)</f>
        <v>0</v>
      </c>
      <c r="J179" s="42">
        <v>0</v>
      </c>
      <c r="K179" s="42">
        <f>E179*J179</f>
        <v>0</v>
      </c>
      <c r="L179" s="43" t="s">
        <v>426</v>
      </c>
      <c r="N179" s="6" t="s">
        <v>7</v>
      </c>
      <c r="O179" s="3">
        <f>IF(N179="5",H179,0)</f>
        <v>0</v>
      </c>
      <c r="Z179" s="3">
        <f>IF(AD179=0,I179,0)</f>
        <v>0</v>
      </c>
      <c r="AA179" s="3">
        <f>IF(AD179=15,I179,0)</f>
        <v>0</v>
      </c>
      <c r="AB179" s="3">
        <f>IF(AD179=21,I179,0)</f>
        <v>0</v>
      </c>
      <c r="AD179" s="10">
        <v>21</v>
      </c>
      <c r="AE179" s="10">
        <f>F179*0</f>
        <v>0</v>
      </c>
      <c r="AF179" s="10">
        <f>F179*(1-0)</f>
        <v>0</v>
      </c>
    </row>
    <row r="180" spans="1:12" ht="12.75">
      <c r="A180" s="23"/>
      <c r="B180" s="23"/>
      <c r="C180" s="44" t="s">
        <v>344</v>
      </c>
      <c r="D180" s="23"/>
      <c r="E180" s="45">
        <v>12063</v>
      </c>
      <c r="F180" s="23"/>
      <c r="G180" s="23"/>
      <c r="H180" s="23"/>
      <c r="I180" s="23"/>
      <c r="J180" s="23"/>
      <c r="K180" s="23"/>
      <c r="L180" s="23"/>
    </row>
    <row r="181" spans="1:32" ht="12.75">
      <c r="A181" s="41" t="s">
        <v>81</v>
      </c>
      <c r="B181" s="41" t="s">
        <v>187</v>
      </c>
      <c r="C181" s="41" t="s">
        <v>349</v>
      </c>
      <c r="D181" s="41" t="s">
        <v>399</v>
      </c>
      <c r="E181" s="42">
        <v>4021</v>
      </c>
      <c r="F181" s="42"/>
      <c r="G181" s="42">
        <f>ROUND(E181*AE181,2)</f>
        <v>0</v>
      </c>
      <c r="H181" s="42">
        <f>I181-G181</f>
        <v>0</v>
      </c>
      <c r="I181" s="42">
        <f>ROUND(E181*F181,2)</f>
        <v>0</v>
      </c>
      <c r="J181" s="42">
        <v>0</v>
      </c>
      <c r="K181" s="42">
        <f>E181*J181</f>
        <v>0</v>
      </c>
      <c r="L181" s="43" t="s">
        <v>426</v>
      </c>
      <c r="N181" s="6" t="s">
        <v>7</v>
      </c>
      <c r="O181" s="3">
        <f>IF(N181="5",H181,0)</f>
        <v>0</v>
      </c>
      <c r="Z181" s="3">
        <f>IF(AD181=0,I181,0)</f>
        <v>0</v>
      </c>
      <c r="AA181" s="3">
        <f>IF(AD181=15,I181,0)</f>
        <v>0</v>
      </c>
      <c r="AB181" s="3">
        <f>IF(AD181=21,I181,0)</f>
        <v>0</v>
      </c>
      <c r="AD181" s="10">
        <v>21</v>
      </c>
      <c r="AE181" s="10">
        <f>F181*0</f>
        <v>0</v>
      </c>
      <c r="AF181" s="10">
        <f>F181*(1-0)</f>
        <v>0</v>
      </c>
    </row>
    <row r="182" spans="1:12" ht="12.75">
      <c r="A182" s="23"/>
      <c r="B182" s="23"/>
      <c r="C182" s="44" t="s">
        <v>346</v>
      </c>
      <c r="D182" s="23"/>
      <c r="E182" s="45">
        <v>4021</v>
      </c>
      <c r="F182" s="23"/>
      <c r="G182" s="23"/>
      <c r="H182" s="23"/>
      <c r="I182" s="23"/>
      <c r="J182" s="23"/>
      <c r="K182" s="23"/>
      <c r="L182" s="23"/>
    </row>
    <row r="183" spans="1:32" ht="12.75">
      <c r="A183" s="41" t="s">
        <v>82</v>
      </c>
      <c r="B183" s="41" t="s">
        <v>188</v>
      </c>
      <c r="C183" s="41" t="s">
        <v>350</v>
      </c>
      <c r="D183" s="41" t="s">
        <v>402</v>
      </c>
      <c r="E183" s="42">
        <v>8</v>
      </c>
      <c r="F183" s="42"/>
      <c r="G183" s="42">
        <f>ROUND(E183*AE183,2)</f>
        <v>0</v>
      </c>
      <c r="H183" s="42">
        <f>I183-G183</f>
        <v>0</v>
      </c>
      <c r="I183" s="42">
        <f>ROUND(E183*F183,2)</f>
        <v>0</v>
      </c>
      <c r="J183" s="42">
        <v>0.03959</v>
      </c>
      <c r="K183" s="42">
        <f>E183*J183</f>
        <v>0.31672</v>
      </c>
      <c r="L183" s="43" t="s">
        <v>426</v>
      </c>
      <c r="N183" s="6" t="s">
        <v>7</v>
      </c>
      <c r="O183" s="3">
        <f>IF(N183="5",H183,0)</f>
        <v>0</v>
      </c>
      <c r="Z183" s="3">
        <f>IF(AD183=0,I183,0)</f>
        <v>0</v>
      </c>
      <c r="AA183" s="3">
        <f>IF(AD183=15,I183,0)</f>
        <v>0</v>
      </c>
      <c r="AB183" s="3">
        <f>IF(AD183=21,I183,0)</f>
        <v>0</v>
      </c>
      <c r="AD183" s="10">
        <v>21</v>
      </c>
      <c r="AE183" s="10">
        <f>F183*0.417731092436975</f>
        <v>0</v>
      </c>
      <c r="AF183" s="10">
        <f>F183*(1-0.417731092436975)</f>
        <v>0</v>
      </c>
    </row>
    <row r="184" spans="1:12" ht="12.75">
      <c r="A184" s="23"/>
      <c r="B184" s="23"/>
      <c r="C184" s="44" t="s">
        <v>14</v>
      </c>
      <c r="D184" s="23"/>
      <c r="E184" s="45">
        <v>8</v>
      </c>
      <c r="F184" s="23"/>
      <c r="G184" s="23"/>
      <c r="H184" s="23"/>
      <c r="I184" s="23"/>
      <c r="J184" s="23"/>
      <c r="K184" s="23"/>
      <c r="L184" s="23"/>
    </row>
    <row r="185" spans="1:32" ht="12.75">
      <c r="A185" s="41" t="s">
        <v>83</v>
      </c>
      <c r="B185" s="41" t="s">
        <v>189</v>
      </c>
      <c r="C185" s="41" t="s">
        <v>351</v>
      </c>
      <c r="D185" s="41" t="s">
        <v>402</v>
      </c>
      <c r="E185" s="42">
        <v>8.3</v>
      </c>
      <c r="F185" s="42"/>
      <c r="G185" s="42">
        <f>ROUND(E185*AE185,2)</f>
        <v>0</v>
      </c>
      <c r="H185" s="42">
        <f>I185-G185</f>
        <v>0</v>
      </c>
      <c r="I185" s="42">
        <f>ROUND(E185*F185,2)</f>
        <v>0</v>
      </c>
      <c r="J185" s="42">
        <v>0</v>
      </c>
      <c r="K185" s="42">
        <f>E185*J185</f>
        <v>0</v>
      </c>
      <c r="L185" s="43" t="s">
        <v>426</v>
      </c>
      <c r="N185" s="6" t="s">
        <v>7</v>
      </c>
      <c r="O185" s="3">
        <f>IF(N185="5",H185,0)</f>
        <v>0</v>
      </c>
      <c r="Z185" s="3">
        <f>IF(AD185=0,I185,0)</f>
        <v>0</v>
      </c>
      <c r="AA185" s="3">
        <f>IF(AD185=15,I185,0)</f>
        <v>0</v>
      </c>
      <c r="AB185" s="3">
        <f>IF(AD185=21,I185,0)</f>
        <v>0</v>
      </c>
      <c r="AD185" s="10">
        <v>21</v>
      </c>
      <c r="AE185" s="10">
        <f>F185*0.935849056603774</f>
        <v>0</v>
      </c>
      <c r="AF185" s="10">
        <f>F185*(1-0.935849056603774)</f>
        <v>0</v>
      </c>
    </row>
    <row r="186" spans="1:12" ht="12.75">
      <c r="A186" s="23"/>
      <c r="B186" s="23"/>
      <c r="C186" s="44" t="s">
        <v>352</v>
      </c>
      <c r="D186" s="23"/>
      <c r="E186" s="45">
        <v>8.3</v>
      </c>
      <c r="F186" s="23"/>
      <c r="G186" s="23"/>
      <c r="H186" s="23"/>
      <c r="I186" s="23"/>
      <c r="J186" s="23"/>
      <c r="K186" s="23"/>
      <c r="L186" s="23"/>
    </row>
    <row r="187" spans="1:32" ht="12.75">
      <c r="A187" s="41" t="s">
        <v>84</v>
      </c>
      <c r="B187" s="41" t="s">
        <v>190</v>
      </c>
      <c r="C187" s="41" t="s">
        <v>353</v>
      </c>
      <c r="D187" s="41" t="s">
        <v>402</v>
      </c>
      <c r="E187" s="42">
        <v>8</v>
      </c>
      <c r="F187" s="42"/>
      <c r="G187" s="42">
        <f>ROUND(E187*AE187,2)</f>
        <v>0</v>
      </c>
      <c r="H187" s="42">
        <f>I187-G187</f>
        <v>0</v>
      </c>
      <c r="I187" s="42">
        <f>ROUND(E187*F187,2)</f>
        <v>0</v>
      </c>
      <c r="J187" s="42">
        <v>0</v>
      </c>
      <c r="K187" s="42">
        <f>E187*J187</f>
        <v>0</v>
      </c>
      <c r="L187" s="43" t="s">
        <v>426</v>
      </c>
      <c r="N187" s="6" t="s">
        <v>7</v>
      </c>
      <c r="O187" s="3">
        <f>IF(N187="5",H187,0)</f>
        <v>0</v>
      </c>
      <c r="Z187" s="3">
        <f>IF(AD187=0,I187,0)</f>
        <v>0</v>
      </c>
      <c r="AA187" s="3">
        <f>IF(AD187=15,I187,0)</f>
        <v>0</v>
      </c>
      <c r="AB187" s="3">
        <f>IF(AD187=21,I187,0)</f>
        <v>0</v>
      </c>
      <c r="AD187" s="10">
        <v>21</v>
      </c>
      <c r="AE187" s="10">
        <f>F187*0</f>
        <v>0</v>
      </c>
      <c r="AF187" s="10">
        <f>F187*(1-0)</f>
        <v>0</v>
      </c>
    </row>
    <row r="188" spans="1:12" ht="12.75">
      <c r="A188" s="23"/>
      <c r="B188" s="23"/>
      <c r="C188" s="44" t="s">
        <v>14</v>
      </c>
      <c r="D188" s="23"/>
      <c r="E188" s="45">
        <v>8</v>
      </c>
      <c r="F188" s="23"/>
      <c r="G188" s="23"/>
      <c r="H188" s="23"/>
      <c r="I188" s="23"/>
      <c r="J188" s="23"/>
      <c r="K188" s="23"/>
      <c r="L188" s="23"/>
    </row>
    <row r="189" spans="1:32" ht="12.75">
      <c r="A189" s="41" t="s">
        <v>85</v>
      </c>
      <c r="B189" s="41" t="s">
        <v>191</v>
      </c>
      <c r="C189" s="41" t="s">
        <v>354</v>
      </c>
      <c r="D189" s="41" t="s">
        <v>399</v>
      </c>
      <c r="E189" s="42">
        <v>626</v>
      </c>
      <c r="F189" s="42"/>
      <c r="G189" s="42">
        <f>ROUND(E189*AE189,2)</f>
        <v>0</v>
      </c>
      <c r="H189" s="42">
        <f>I189-G189</f>
        <v>0</v>
      </c>
      <c r="I189" s="42">
        <f>ROUND(E189*F189,2)</f>
        <v>0</v>
      </c>
      <c r="J189" s="42">
        <v>0.03496</v>
      </c>
      <c r="K189" s="42">
        <f>E189*J189</f>
        <v>21.88496</v>
      </c>
      <c r="L189" s="43" t="s">
        <v>426</v>
      </c>
      <c r="N189" s="6" t="s">
        <v>7</v>
      </c>
      <c r="O189" s="3">
        <f>IF(N189="5",H189,0)</f>
        <v>0</v>
      </c>
      <c r="Z189" s="3">
        <f>IF(AD189=0,I189,0)</f>
        <v>0</v>
      </c>
      <c r="AA189" s="3">
        <f>IF(AD189=15,I189,0)</f>
        <v>0</v>
      </c>
      <c r="AB189" s="3">
        <f>IF(AD189=21,I189,0)</f>
        <v>0</v>
      </c>
      <c r="AD189" s="10">
        <v>21</v>
      </c>
      <c r="AE189" s="10">
        <f>F189*0.459704433497537</f>
        <v>0</v>
      </c>
      <c r="AF189" s="10">
        <f>F189*(1-0.459704433497537)</f>
        <v>0</v>
      </c>
    </row>
    <row r="190" spans="1:12" ht="12.75">
      <c r="A190" s="23"/>
      <c r="B190" s="23"/>
      <c r="C190" s="44" t="s">
        <v>355</v>
      </c>
      <c r="D190" s="23"/>
      <c r="E190" s="45">
        <v>626</v>
      </c>
      <c r="F190" s="23"/>
      <c r="G190" s="23"/>
      <c r="H190" s="23"/>
      <c r="I190" s="23"/>
      <c r="J190" s="23"/>
      <c r="K190" s="23"/>
      <c r="L190" s="23"/>
    </row>
    <row r="191" spans="1:37" ht="12.75">
      <c r="A191" s="46"/>
      <c r="B191" s="47" t="s">
        <v>101</v>
      </c>
      <c r="C191" s="103" t="s">
        <v>356</v>
      </c>
      <c r="D191" s="104"/>
      <c r="E191" s="104"/>
      <c r="F191" s="104"/>
      <c r="G191" s="48">
        <f>SUM(G192:G199)</f>
        <v>0</v>
      </c>
      <c r="H191" s="48">
        <f>SUM(H192:H199)</f>
        <v>0</v>
      </c>
      <c r="I191" s="48">
        <f>G191+H191</f>
        <v>0</v>
      </c>
      <c r="J191" s="49"/>
      <c r="K191" s="48">
        <f>SUM(K192:K199)</f>
        <v>2.2526230000000003</v>
      </c>
      <c r="L191" s="49"/>
      <c r="P191" s="11">
        <f>IF(Q191="PR",I191,SUM(O192:O199))</f>
        <v>0</v>
      </c>
      <c r="Q191" s="5" t="s">
        <v>431</v>
      </c>
      <c r="R191" s="11">
        <f>IF(Q191="HS",G191,0)</f>
        <v>0</v>
      </c>
      <c r="S191" s="11">
        <f>IF(Q191="HS",H191-P191,0)</f>
        <v>0</v>
      </c>
      <c r="T191" s="11">
        <f>IF(Q191="PS",G191,0)</f>
        <v>0</v>
      </c>
      <c r="U191" s="11">
        <f>IF(Q191="PS",H191-P191,0)</f>
        <v>0</v>
      </c>
      <c r="V191" s="11">
        <f>IF(Q191="MP",G191,0)</f>
        <v>0</v>
      </c>
      <c r="W191" s="11">
        <f>IF(Q191="MP",H191-P191,0)</f>
        <v>0</v>
      </c>
      <c r="X191" s="11">
        <f>IF(Q191="OM",G191,0)</f>
        <v>0</v>
      </c>
      <c r="Y191" s="5"/>
      <c r="AI191" s="11">
        <f>SUM(Z192:Z199)</f>
        <v>0</v>
      </c>
      <c r="AJ191" s="11">
        <f>SUM(AA192:AA199)</f>
        <v>0</v>
      </c>
      <c r="AK191" s="11">
        <f>SUM(AB192:AB199)</f>
        <v>0</v>
      </c>
    </row>
    <row r="192" spans="1:32" ht="12.75">
      <c r="A192" s="41" t="s">
        <v>86</v>
      </c>
      <c r="B192" s="41" t="s">
        <v>192</v>
      </c>
      <c r="C192" s="41" t="s">
        <v>357</v>
      </c>
      <c r="D192" s="41" t="s">
        <v>399</v>
      </c>
      <c r="E192" s="42">
        <v>1050.06</v>
      </c>
      <c r="F192" s="42"/>
      <c r="G192" s="42">
        <f>ROUND(E192*AE192,2)</f>
        <v>0</v>
      </c>
      <c r="H192" s="42">
        <f>I192-G192</f>
        <v>0</v>
      </c>
      <c r="I192" s="42">
        <f>ROUND(E192*F192,2)</f>
        <v>0</v>
      </c>
      <c r="J192" s="42">
        <v>0.00205</v>
      </c>
      <c r="K192" s="42">
        <f>E192*J192</f>
        <v>2.152623</v>
      </c>
      <c r="L192" s="43" t="s">
        <v>426</v>
      </c>
      <c r="N192" s="6" t="s">
        <v>7</v>
      </c>
      <c r="O192" s="3">
        <f>IF(N192="5",H192,0)</f>
        <v>0</v>
      </c>
      <c r="Z192" s="3">
        <f>IF(AD192=0,I192,0)</f>
        <v>0</v>
      </c>
      <c r="AA192" s="3">
        <f>IF(AD192=15,I192,0)</f>
        <v>0</v>
      </c>
      <c r="AB192" s="3">
        <f>IF(AD192=21,I192,0)</f>
        <v>0</v>
      </c>
      <c r="AD192" s="10">
        <v>21</v>
      </c>
      <c r="AE192" s="10">
        <f>F192*0.0163265306122449</f>
        <v>0</v>
      </c>
      <c r="AF192" s="10">
        <f>F192*(1-0.0163265306122449)</f>
        <v>0</v>
      </c>
    </row>
    <row r="193" spans="1:12" ht="12.75">
      <c r="A193" s="23"/>
      <c r="B193" s="23"/>
      <c r="C193" s="44" t="s">
        <v>358</v>
      </c>
      <c r="D193" s="23"/>
      <c r="E193" s="45">
        <v>848.43</v>
      </c>
      <c r="F193" s="23"/>
      <c r="G193" s="23"/>
      <c r="H193" s="23"/>
      <c r="I193" s="23"/>
      <c r="J193" s="23"/>
      <c r="K193" s="23"/>
      <c r="L193" s="23"/>
    </row>
    <row r="194" spans="1:12" ht="12.75">
      <c r="A194" s="23"/>
      <c r="B194" s="23"/>
      <c r="C194" s="44" t="s">
        <v>359</v>
      </c>
      <c r="D194" s="23"/>
      <c r="E194" s="45">
        <v>201.63</v>
      </c>
      <c r="F194" s="23"/>
      <c r="G194" s="23"/>
      <c r="H194" s="23"/>
      <c r="I194" s="23"/>
      <c r="J194" s="23"/>
      <c r="K194" s="23"/>
      <c r="L194" s="23"/>
    </row>
    <row r="195" spans="1:32" ht="12.75">
      <c r="A195" s="41" t="s">
        <v>87</v>
      </c>
      <c r="B195" s="41" t="s">
        <v>193</v>
      </c>
      <c r="C195" s="41" t="s">
        <v>360</v>
      </c>
      <c r="D195" s="41" t="s">
        <v>404</v>
      </c>
      <c r="E195" s="42">
        <v>100</v>
      </c>
      <c r="F195" s="42"/>
      <c r="G195" s="42">
        <f>ROUND(E195*AE195,2)</f>
        <v>0</v>
      </c>
      <c r="H195" s="42">
        <f>I195-G195</f>
        <v>0</v>
      </c>
      <c r="I195" s="42">
        <f>ROUND(E195*F195,2)</f>
        <v>0</v>
      </c>
      <c r="J195" s="42">
        <v>0</v>
      </c>
      <c r="K195" s="42">
        <f>E195*J195</f>
        <v>0</v>
      </c>
      <c r="L195" s="43" t="s">
        <v>426</v>
      </c>
      <c r="N195" s="6" t="s">
        <v>7</v>
      </c>
      <c r="O195" s="3">
        <f>IF(N195="5",H195,0)</f>
        <v>0</v>
      </c>
      <c r="Z195" s="3">
        <f>IF(AD195=0,I195,0)</f>
        <v>0</v>
      </c>
      <c r="AA195" s="3">
        <f>IF(AD195=15,I195,0)</f>
        <v>0</v>
      </c>
      <c r="AB195" s="3">
        <f>IF(AD195=21,I195,0)</f>
        <v>0</v>
      </c>
      <c r="AD195" s="10">
        <v>21</v>
      </c>
      <c r="AE195" s="10">
        <f>F195*0</f>
        <v>0</v>
      </c>
      <c r="AF195" s="10">
        <f>F195*(1-0)</f>
        <v>0</v>
      </c>
    </row>
    <row r="196" spans="1:12" ht="12.75">
      <c r="A196" s="23"/>
      <c r="B196" s="23"/>
      <c r="C196" s="44" t="s">
        <v>106</v>
      </c>
      <c r="D196" s="23"/>
      <c r="E196" s="45">
        <v>100</v>
      </c>
      <c r="F196" s="23"/>
      <c r="G196" s="23"/>
      <c r="H196" s="23"/>
      <c r="I196" s="23"/>
      <c r="J196" s="23"/>
      <c r="K196" s="23"/>
      <c r="L196" s="23"/>
    </row>
    <row r="197" spans="1:32" ht="12.75">
      <c r="A197" s="50" t="s">
        <v>88</v>
      </c>
      <c r="B197" s="50" t="s">
        <v>194</v>
      </c>
      <c r="C197" s="50" t="s">
        <v>361</v>
      </c>
      <c r="D197" s="50" t="s">
        <v>405</v>
      </c>
      <c r="E197" s="51">
        <v>100</v>
      </c>
      <c r="F197" s="51"/>
      <c r="G197" s="51">
        <f>ROUND(E197*AE197,2)</f>
        <v>0</v>
      </c>
      <c r="H197" s="51">
        <f>I197-G197</f>
        <v>0</v>
      </c>
      <c r="I197" s="51">
        <f>ROUND(E197*F197,2)</f>
        <v>0</v>
      </c>
      <c r="J197" s="51">
        <v>0.001</v>
      </c>
      <c r="K197" s="51">
        <f>E197*J197</f>
        <v>0.1</v>
      </c>
      <c r="L197" s="52"/>
      <c r="N197" s="7" t="s">
        <v>428</v>
      </c>
      <c r="O197" s="4">
        <f>IF(N197="5",H197,0)</f>
        <v>0</v>
      </c>
      <c r="Z197" s="4">
        <f>IF(AD197=0,I197,0)</f>
        <v>0</v>
      </c>
      <c r="AA197" s="4">
        <f>IF(AD197=15,I197,0)</f>
        <v>0</v>
      </c>
      <c r="AB197" s="4">
        <f>IF(AD197=21,I197,0)</f>
        <v>0</v>
      </c>
      <c r="AD197" s="10">
        <v>21</v>
      </c>
      <c r="AE197" s="10">
        <f>F197*1</f>
        <v>0</v>
      </c>
      <c r="AF197" s="10">
        <f>F197*(1-1)</f>
        <v>0</v>
      </c>
    </row>
    <row r="198" spans="1:12" ht="12.75">
      <c r="A198" s="23"/>
      <c r="B198" s="23"/>
      <c r="C198" s="53" t="s">
        <v>106</v>
      </c>
      <c r="D198" s="23"/>
      <c r="E198" s="54">
        <v>100</v>
      </c>
      <c r="F198" s="23"/>
      <c r="G198" s="23"/>
      <c r="H198" s="23"/>
      <c r="I198" s="23"/>
      <c r="J198" s="23"/>
      <c r="K198" s="23"/>
      <c r="L198" s="23"/>
    </row>
    <row r="199" spans="1:32" ht="12.75">
      <c r="A199" s="41" t="s">
        <v>89</v>
      </c>
      <c r="B199" s="41" t="s">
        <v>195</v>
      </c>
      <c r="C199" s="41" t="s">
        <v>362</v>
      </c>
      <c r="D199" s="41" t="s">
        <v>400</v>
      </c>
      <c r="E199" s="42">
        <v>253.38227</v>
      </c>
      <c r="F199" s="42"/>
      <c r="G199" s="42">
        <f>ROUND(E199*AE199,2)</f>
        <v>0</v>
      </c>
      <c r="H199" s="42">
        <f>I199-G199</f>
        <v>0</v>
      </c>
      <c r="I199" s="42">
        <f>ROUND(E199*F199,2)</f>
        <v>0</v>
      </c>
      <c r="J199" s="42">
        <v>0</v>
      </c>
      <c r="K199" s="42">
        <f>E199*J199</f>
        <v>0</v>
      </c>
      <c r="L199" s="43" t="s">
        <v>426</v>
      </c>
      <c r="N199" s="6" t="s">
        <v>11</v>
      </c>
      <c r="O199" s="3">
        <f>IF(N199="5",H199,0)</f>
        <v>0</v>
      </c>
      <c r="Z199" s="3">
        <f>IF(AD199=0,I199,0)</f>
        <v>0</v>
      </c>
      <c r="AA199" s="3">
        <f>IF(AD199=15,I199,0)</f>
        <v>0</v>
      </c>
      <c r="AB199" s="3">
        <f>IF(AD199=21,I199,0)</f>
        <v>0</v>
      </c>
      <c r="AD199" s="10">
        <v>21</v>
      </c>
      <c r="AE199" s="10">
        <f>F199*0</f>
        <v>0</v>
      </c>
      <c r="AF199" s="10">
        <f>F199*(1-0)</f>
        <v>0</v>
      </c>
    </row>
    <row r="200" spans="1:37" ht="12.75">
      <c r="A200" s="46"/>
      <c r="B200" s="47" t="s">
        <v>102</v>
      </c>
      <c r="C200" s="103" t="s">
        <v>363</v>
      </c>
      <c r="D200" s="104"/>
      <c r="E200" s="104"/>
      <c r="F200" s="104"/>
      <c r="G200" s="48">
        <f>SUM(G201:G225)</f>
        <v>0</v>
      </c>
      <c r="H200" s="48">
        <f>SUM(H201:H225)</f>
        <v>0</v>
      </c>
      <c r="I200" s="48">
        <f>G200+H200</f>
        <v>0</v>
      </c>
      <c r="J200" s="49"/>
      <c r="K200" s="48">
        <f>SUM(K201:K225)</f>
        <v>28.66599</v>
      </c>
      <c r="L200" s="49"/>
      <c r="P200" s="11">
        <f>IF(Q200="PR",I200,SUM(O201:O225))</f>
        <v>0</v>
      </c>
      <c r="Q200" s="5" t="s">
        <v>431</v>
      </c>
      <c r="R200" s="11">
        <f>IF(Q200="HS",G200,0)</f>
        <v>0</v>
      </c>
      <c r="S200" s="11">
        <f>IF(Q200="HS",H200-P200,0)</f>
        <v>0</v>
      </c>
      <c r="T200" s="11">
        <f>IF(Q200="PS",G200,0)</f>
        <v>0</v>
      </c>
      <c r="U200" s="11">
        <f>IF(Q200="PS",H200-P200,0)</f>
        <v>0</v>
      </c>
      <c r="V200" s="11">
        <f>IF(Q200="MP",G200,0)</f>
        <v>0</v>
      </c>
      <c r="W200" s="11">
        <f>IF(Q200="MP",H200-P200,0)</f>
        <v>0</v>
      </c>
      <c r="X200" s="11">
        <f>IF(Q200="OM",G200,0)</f>
        <v>0</v>
      </c>
      <c r="Y200" s="5"/>
      <c r="AI200" s="11">
        <f>SUM(Z201:Z225)</f>
        <v>0</v>
      </c>
      <c r="AJ200" s="11">
        <f>SUM(AA201:AA225)</f>
        <v>0</v>
      </c>
      <c r="AK200" s="11">
        <f>SUM(AB201:AB225)</f>
        <v>0</v>
      </c>
    </row>
    <row r="201" spans="1:32" ht="12.75">
      <c r="A201" s="41" t="s">
        <v>90</v>
      </c>
      <c r="B201" s="41" t="s">
        <v>196</v>
      </c>
      <c r="C201" s="41" t="s">
        <v>364</v>
      </c>
      <c r="D201" s="41" t="s">
        <v>403</v>
      </c>
      <c r="E201" s="42">
        <v>2</v>
      </c>
      <c r="F201" s="42"/>
      <c r="G201" s="42">
        <f>ROUND(E201*AE201,2)</f>
        <v>0</v>
      </c>
      <c r="H201" s="42">
        <f>I201-G201</f>
        <v>0</v>
      </c>
      <c r="I201" s="42">
        <f>ROUND(E201*F201,2)</f>
        <v>0</v>
      </c>
      <c r="J201" s="42">
        <v>0</v>
      </c>
      <c r="K201" s="42">
        <f>E201*J201</f>
        <v>0</v>
      </c>
      <c r="L201" s="43" t="s">
        <v>426</v>
      </c>
      <c r="N201" s="6" t="s">
        <v>7</v>
      </c>
      <c r="O201" s="3">
        <f>IF(N201="5",H201,0)</f>
        <v>0</v>
      </c>
      <c r="Z201" s="3">
        <f>IF(AD201=0,I201,0)</f>
        <v>0</v>
      </c>
      <c r="AA201" s="3">
        <f>IF(AD201=15,I201,0)</f>
        <v>0</v>
      </c>
      <c r="AB201" s="3">
        <f>IF(AD201=21,I201,0)</f>
        <v>0</v>
      </c>
      <c r="AD201" s="10">
        <v>21</v>
      </c>
      <c r="AE201" s="10">
        <f>F201*0</f>
        <v>0</v>
      </c>
      <c r="AF201" s="10">
        <f>F201*(1-0)</f>
        <v>0</v>
      </c>
    </row>
    <row r="202" spans="1:12" ht="12.75">
      <c r="A202" s="23"/>
      <c r="B202" s="23"/>
      <c r="C202" s="44" t="s">
        <v>8</v>
      </c>
      <c r="D202" s="23"/>
      <c r="E202" s="45">
        <v>2</v>
      </c>
      <c r="F202" s="23"/>
      <c r="G202" s="23"/>
      <c r="H202" s="23"/>
      <c r="I202" s="23"/>
      <c r="J202" s="23"/>
      <c r="K202" s="23"/>
      <c r="L202" s="23"/>
    </row>
    <row r="203" spans="1:32" ht="12.75">
      <c r="A203" s="41" t="s">
        <v>91</v>
      </c>
      <c r="B203" s="41" t="s">
        <v>197</v>
      </c>
      <c r="C203" s="41" t="s">
        <v>365</v>
      </c>
      <c r="D203" s="41" t="s">
        <v>399</v>
      </c>
      <c r="E203" s="42">
        <v>6.5</v>
      </c>
      <c r="F203" s="42"/>
      <c r="G203" s="42">
        <f>ROUND(E203*AE203,2)</f>
        <v>0</v>
      </c>
      <c r="H203" s="42">
        <f>I203-G203</f>
        <v>0</v>
      </c>
      <c r="I203" s="42">
        <f>ROUND(E203*F203,2)</f>
        <v>0</v>
      </c>
      <c r="J203" s="42">
        <v>0.066</v>
      </c>
      <c r="K203" s="42">
        <f>E203*J203</f>
        <v>0.42900000000000005</v>
      </c>
      <c r="L203" s="43" t="s">
        <v>426</v>
      </c>
      <c r="N203" s="6" t="s">
        <v>7</v>
      </c>
      <c r="O203" s="3">
        <f>IF(N203="5",H203,0)</f>
        <v>0</v>
      </c>
      <c r="Z203" s="3">
        <f>IF(AD203=0,I203,0)</f>
        <v>0</v>
      </c>
      <c r="AA203" s="3">
        <f>IF(AD203=15,I203,0)</f>
        <v>0</v>
      </c>
      <c r="AB203" s="3">
        <f>IF(AD203=21,I203,0)</f>
        <v>0</v>
      </c>
      <c r="AD203" s="10">
        <v>21</v>
      </c>
      <c r="AE203" s="10">
        <f>F203*0.132511234193751</f>
        <v>0</v>
      </c>
      <c r="AF203" s="10">
        <f>F203*(1-0.132511234193751)</f>
        <v>0</v>
      </c>
    </row>
    <row r="204" spans="1:12" ht="12.75">
      <c r="A204" s="23"/>
      <c r="B204" s="23"/>
      <c r="C204" s="44" t="s">
        <v>366</v>
      </c>
      <c r="D204" s="23"/>
      <c r="E204" s="45">
        <v>6.5</v>
      </c>
      <c r="F204" s="23"/>
      <c r="G204" s="23"/>
      <c r="H204" s="23"/>
      <c r="I204" s="23"/>
      <c r="J204" s="23"/>
      <c r="K204" s="23"/>
      <c r="L204" s="23"/>
    </row>
    <row r="205" spans="1:32" ht="12.75">
      <c r="A205" s="41" t="s">
        <v>92</v>
      </c>
      <c r="B205" s="41" t="s">
        <v>198</v>
      </c>
      <c r="C205" s="41" t="s">
        <v>367</v>
      </c>
      <c r="D205" s="41" t="s">
        <v>403</v>
      </c>
      <c r="E205" s="42">
        <v>129</v>
      </c>
      <c r="F205" s="42"/>
      <c r="G205" s="42">
        <f>ROUND(E205*AE205,2)</f>
        <v>0</v>
      </c>
      <c r="H205" s="42">
        <f>I205-G205</f>
        <v>0</v>
      </c>
      <c r="I205" s="42">
        <f>ROUND(E205*F205,2)</f>
        <v>0</v>
      </c>
      <c r="J205" s="42">
        <v>0</v>
      </c>
      <c r="K205" s="42">
        <f>E205*J205</f>
        <v>0</v>
      </c>
      <c r="L205" s="43" t="s">
        <v>426</v>
      </c>
      <c r="N205" s="6" t="s">
        <v>7</v>
      </c>
      <c r="O205" s="3">
        <f>IF(N205="5",H205,0)</f>
        <v>0</v>
      </c>
      <c r="Z205" s="3">
        <f>IF(AD205=0,I205,0)</f>
        <v>0</v>
      </c>
      <c r="AA205" s="3">
        <f>IF(AD205=15,I205,0)</f>
        <v>0</v>
      </c>
      <c r="AB205" s="3">
        <f>IF(AD205=21,I205,0)</f>
        <v>0</v>
      </c>
      <c r="AD205" s="10">
        <v>21</v>
      </c>
      <c r="AE205" s="10">
        <f>F205*0</f>
        <v>0</v>
      </c>
      <c r="AF205" s="10">
        <f>F205*(1-0)</f>
        <v>0</v>
      </c>
    </row>
    <row r="206" spans="1:12" ht="12.75">
      <c r="A206" s="23"/>
      <c r="B206" s="23"/>
      <c r="C206" s="44" t="s">
        <v>368</v>
      </c>
      <c r="D206" s="23"/>
      <c r="E206" s="45">
        <v>129</v>
      </c>
      <c r="F206" s="23"/>
      <c r="G206" s="23"/>
      <c r="H206" s="23"/>
      <c r="I206" s="23"/>
      <c r="J206" s="23"/>
      <c r="K206" s="23"/>
      <c r="L206" s="23"/>
    </row>
    <row r="207" spans="1:32" ht="12.75">
      <c r="A207" s="41" t="s">
        <v>93</v>
      </c>
      <c r="B207" s="41" t="s">
        <v>199</v>
      </c>
      <c r="C207" s="41" t="s">
        <v>369</v>
      </c>
      <c r="D207" s="41" t="s">
        <v>403</v>
      </c>
      <c r="E207" s="42">
        <v>182</v>
      </c>
      <c r="F207" s="42"/>
      <c r="G207" s="42">
        <f>ROUND(E207*AE207,2)</f>
        <v>0</v>
      </c>
      <c r="H207" s="42">
        <f>I207-G207</f>
        <v>0</v>
      </c>
      <c r="I207" s="42">
        <f>ROUND(E207*F207,2)</f>
        <v>0</v>
      </c>
      <c r="J207" s="42">
        <v>0</v>
      </c>
      <c r="K207" s="42">
        <f>E207*J207</f>
        <v>0</v>
      </c>
      <c r="L207" s="43" t="s">
        <v>426</v>
      </c>
      <c r="N207" s="6" t="s">
        <v>7</v>
      </c>
      <c r="O207" s="3">
        <f>IF(N207="5",H207,0)</f>
        <v>0</v>
      </c>
      <c r="Z207" s="3">
        <f>IF(AD207=0,I207,0)</f>
        <v>0</v>
      </c>
      <c r="AA207" s="3">
        <f>IF(AD207=15,I207,0)</f>
        <v>0</v>
      </c>
      <c r="AB207" s="3">
        <f>IF(AD207=21,I207,0)</f>
        <v>0</v>
      </c>
      <c r="AD207" s="10">
        <v>21</v>
      </c>
      <c r="AE207" s="10">
        <f>F207*0</f>
        <v>0</v>
      </c>
      <c r="AF207" s="10">
        <f>F207*(1-0)</f>
        <v>0</v>
      </c>
    </row>
    <row r="208" spans="1:12" ht="12.75">
      <c r="A208" s="23"/>
      <c r="B208" s="23"/>
      <c r="C208" s="44" t="s">
        <v>370</v>
      </c>
      <c r="D208" s="23"/>
      <c r="E208" s="45">
        <v>182</v>
      </c>
      <c r="F208" s="23"/>
      <c r="G208" s="23"/>
      <c r="H208" s="23"/>
      <c r="I208" s="23"/>
      <c r="J208" s="23"/>
      <c r="K208" s="23"/>
      <c r="L208" s="23"/>
    </row>
    <row r="209" spans="1:32" ht="12.75">
      <c r="A209" s="41" t="s">
        <v>94</v>
      </c>
      <c r="B209" s="41" t="s">
        <v>200</v>
      </c>
      <c r="C209" s="41" t="s">
        <v>371</v>
      </c>
      <c r="D209" s="41" t="s">
        <v>403</v>
      </c>
      <c r="E209" s="42">
        <v>6</v>
      </c>
      <c r="F209" s="42"/>
      <c r="G209" s="42">
        <f>ROUND(E209*AE209,2)</f>
        <v>0</v>
      </c>
      <c r="H209" s="42">
        <f>I209-G209</f>
        <v>0</v>
      </c>
      <c r="I209" s="42">
        <f>ROUND(E209*F209,2)</f>
        <v>0</v>
      </c>
      <c r="J209" s="42">
        <v>0</v>
      </c>
      <c r="K209" s="42">
        <f>E209*J209</f>
        <v>0</v>
      </c>
      <c r="L209" s="43" t="s">
        <v>426</v>
      </c>
      <c r="N209" s="6" t="s">
        <v>7</v>
      </c>
      <c r="O209" s="3">
        <f>IF(N209="5",H209,0)</f>
        <v>0</v>
      </c>
      <c r="Z209" s="3">
        <f>IF(AD209=0,I209,0)</f>
        <v>0</v>
      </c>
      <c r="AA209" s="3">
        <f>IF(AD209=15,I209,0)</f>
        <v>0</v>
      </c>
      <c r="AB209" s="3">
        <f>IF(AD209=21,I209,0)</f>
        <v>0</v>
      </c>
      <c r="AD209" s="10">
        <v>21</v>
      </c>
      <c r="AE209" s="10">
        <f>F209*0</f>
        <v>0</v>
      </c>
      <c r="AF209" s="10">
        <f>F209*(1-0)</f>
        <v>0</v>
      </c>
    </row>
    <row r="210" spans="1:12" ht="12.75">
      <c r="A210" s="23"/>
      <c r="B210" s="23"/>
      <c r="C210" s="44" t="s">
        <v>12</v>
      </c>
      <c r="D210" s="23"/>
      <c r="E210" s="45">
        <v>6</v>
      </c>
      <c r="F210" s="23"/>
      <c r="G210" s="23"/>
      <c r="H210" s="23"/>
      <c r="I210" s="23"/>
      <c r="J210" s="23"/>
      <c r="K210" s="23"/>
      <c r="L210" s="23"/>
    </row>
    <row r="211" spans="1:32" ht="12.75">
      <c r="A211" s="41" t="s">
        <v>95</v>
      </c>
      <c r="B211" s="41" t="s">
        <v>201</v>
      </c>
      <c r="C211" s="41" t="s">
        <v>372</v>
      </c>
      <c r="D211" s="41" t="s">
        <v>399</v>
      </c>
      <c r="E211" s="42">
        <v>32.84</v>
      </c>
      <c r="F211" s="42"/>
      <c r="G211" s="42">
        <f>ROUND(E211*AE211,2)</f>
        <v>0</v>
      </c>
      <c r="H211" s="42">
        <f>I211-G211</f>
        <v>0</v>
      </c>
      <c r="I211" s="42">
        <f>ROUND(E211*F211,2)</f>
        <v>0</v>
      </c>
      <c r="J211" s="42">
        <v>0.075</v>
      </c>
      <c r="K211" s="42">
        <f>E211*J211</f>
        <v>2.463</v>
      </c>
      <c r="L211" s="43" t="s">
        <v>426</v>
      </c>
      <c r="N211" s="6" t="s">
        <v>7</v>
      </c>
      <c r="O211" s="3">
        <f>IF(N211="5",H211,0)</f>
        <v>0</v>
      </c>
      <c r="Z211" s="3">
        <f>IF(AD211=0,I211,0)</f>
        <v>0</v>
      </c>
      <c r="AA211" s="3">
        <f>IF(AD211=15,I211,0)</f>
        <v>0</v>
      </c>
      <c r="AB211" s="3">
        <f>IF(AD211=21,I211,0)</f>
        <v>0</v>
      </c>
      <c r="AD211" s="10">
        <v>21</v>
      </c>
      <c r="AE211" s="10">
        <f>F211*0.177785714285714</f>
        <v>0</v>
      </c>
      <c r="AF211" s="10">
        <f>F211*(1-0.177785714285714)</f>
        <v>0</v>
      </c>
    </row>
    <row r="212" spans="1:12" ht="12.75">
      <c r="A212" s="23"/>
      <c r="B212" s="23"/>
      <c r="C212" s="44" t="s">
        <v>373</v>
      </c>
      <c r="D212" s="23"/>
      <c r="E212" s="45">
        <v>32.84</v>
      </c>
      <c r="F212" s="23"/>
      <c r="G212" s="23"/>
      <c r="H212" s="23"/>
      <c r="I212" s="23"/>
      <c r="J212" s="23"/>
      <c r="K212" s="23"/>
      <c r="L212" s="23"/>
    </row>
    <row r="213" spans="1:32" ht="12.75">
      <c r="A213" s="41" t="s">
        <v>96</v>
      </c>
      <c r="B213" s="41" t="s">
        <v>202</v>
      </c>
      <c r="C213" s="41" t="s">
        <v>374</v>
      </c>
      <c r="D213" s="41" t="s">
        <v>399</v>
      </c>
      <c r="E213" s="42">
        <v>94.92</v>
      </c>
      <c r="F213" s="42"/>
      <c r="G213" s="42">
        <f>ROUND(E213*AE213,2)</f>
        <v>0</v>
      </c>
      <c r="H213" s="42">
        <f>I213-G213</f>
        <v>0</v>
      </c>
      <c r="I213" s="42">
        <f>ROUND(E213*F213,2)</f>
        <v>0</v>
      </c>
      <c r="J213" s="42">
        <v>0.054</v>
      </c>
      <c r="K213" s="42">
        <f>E213*J213</f>
        <v>5.12568</v>
      </c>
      <c r="L213" s="43" t="s">
        <v>426</v>
      </c>
      <c r="N213" s="6" t="s">
        <v>7</v>
      </c>
      <c r="O213" s="3">
        <f>IF(N213="5",H213,0)</f>
        <v>0</v>
      </c>
      <c r="Z213" s="3">
        <f>IF(AD213=0,I213,0)</f>
        <v>0</v>
      </c>
      <c r="AA213" s="3">
        <f>IF(AD213=15,I213,0)</f>
        <v>0</v>
      </c>
      <c r="AB213" s="3">
        <f>IF(AD213=21,I213,0)</f>
        <v>0</v>
      </c>
      <c r="AD213" s="10">
        <v>21</v>
      </c>
      <c r="AE213" s="10">
        <f>F213*0.157584905660377</f>
        <v>0</v>
      </c>
      <c r="AF213" s="10">
        <f>F213*(1-0.157584905660377)</f>
        <v>0</v>
      </c>
    </row>
    <row r="214" spans="1:12" ht="12.75">
      <c r="A214" s="23"/>
      <c r="B214" s="23"/>
      <c r="C214" s="44" t="s">
        <v>375</v>
      </c>
      <c r="D214" s="23"/>
      <c r="E214" s="45">
        <v>94.92</v>
      </c>
      <c r="F214" s="23"/>
      <c r="G214" s="23"/>
      <c r="H214" s="23"/>
      <c r="I214" s="23"/>
      <c r="J214" s="23"/>
      <c r="K214" s="23"/>
      <c r="L214" s="23"/>
    </row>
    <row r="215" spans="1:32" ht="12.75">
      <c r="A215" s="41" t="s">
        <v>97</v>
      </c>
      <c r="B215" s="41" t="s">
        <v>203</v>
      </c>
      <c r="C215" s="41" t="s">
        <v>376</v>
      </c>
      <c r="D215" s="41" t="s">
        <v>399</v>
      </c>
      <c r="E215" s="42">
        <v>414.55</v>
      </c>
      <c r="F215" s="42"/>
      <c r="G215" s="42">
        <f>ROUND(E215*AE215,2)</f>
        <v>0</v>
      </c>
      <c r="H215" s="42">
        <f>I215-G215</f>
        <v>0</v>
      </c>
      <c r="I215" s="42">
        <f>ROUND(E215*F215,2)</f>
        <v>0</v>
      </c>
      <c r="J215" s="42">
        <v>0.047</v>
      </c>
      <c r="K215" s="42">
        <f>E215*J215</f>
        <v>19.48385</v>
      </c>
      <c r="L215" s="43" t="s">
        <v>426</v>
      </c>
      <c r="N215" s="6" t="s">
        <v>7</v>
      </c>
      <c r="O215" s="3">
        <f>IF(N215="5",H215,0)</f>
        <v>0</v>
      </c>
      <c r="Z215" s="3">
        <f>IF(AD215=0,I215,0)</f>
        <v>0</v>
      </c>
      <c r="AA215" s="3">
        <f>IF(AD215=15,I215,0)</f>
        <v>0</v>
      </c>
      <c r="AB215" s="3">
        <f>IF(AD215=21,I215,0)</f>
        <v>0</v>
      </c>
      <c r="AD215" s="10">
        <v>21</v>
      </c>
      <c r="AE215" s="10">
        <f>F215*0.163582141917376</f>
        <v>0</v>
      </c>
      <c r="AF215" s="10">
        <f>F215*(1-0.163582141917376)</f>
        <v>0</v>
      </c>
    </row>
    <row r="216" spans="1:12" ht="12.75">
      <c r="A216" s="23"/>
      <c r="B216" s="23"/>
      <c r="C216" s="44" t="s">
        <v>377</v>
      </c>
      <c r="D216" s="23"/>
      <c r="E216" s="45">
        <v>414.55</v>
      </c>
      <c r="F216" s="23"/>
      <c r="G216" s="23"/>
      <c r="H216" s="23"/>
      <c r="I216" s="23"/>
      <c r="J216" s="23"/>
      <c r="K216" s="23"/>
      <c r="L216" s="23"/>
    </row>
    <row r="217" spans="1:32" ht="12.75">
      <c r="A217" s="41" t="s">
        <v>98</v>
      </c>
      <c r="B217" s="41" t="s">
        <v>204</v>
      </c>
      <c r="C217" s="41" t="s">
        <v>378</v>
      </c>
      <c r="D217" s="41" t="s">
        <v>399</v>
      </c>
      <c r="E217" s="42">
        <v>17.38</v>
      </c>
      <c r="F217" s="42"/>
      <c r="G217" s="42">
        <f>ROUND(E217*AE217,2)</f>
        <v>0</v>
      </c>
      <c r="H217" s="42">
        <f>I217-G217</f>
        <v>0</v>
      </c>
      <c r="I217" s="42">
        <f>ROUND(E217*F217,2)</f>
        <v>0</v>
      </c>
      <c r="J217" s="42">
        <v>0.067</v>
      </c>
      <c r="K217" s="42">
        <f>E217*J217</f>
        <v>1.16446</v>
      </c>
      <c r="L217" s="43" t="s">
        <v>426</v>
      </c>
      <c r="N217" s="6" t="s">
        <v>7</v>
      </c>
      <c r="O217" s="3">
        <f>IF(N217="5",H217,0)</f>
        <v>0</v>
      </c>
      <c r="Z217" s="3">
        <f>IF(AD217=0,I217,0)</f>
        <v>0</v>
      </c>
      <c r="AA217" s="3">
        <f>IF(AD217=15,I217,0)</f>
        <v>0</v>
      </c>
      <c r="AB217" s="3">
        <f>IF(AD217=21,I217,0)</f>
        <v>0</v>
      </c>
      <c r="AD217" s="10">
        <v>21</v>
      </c>
      <c r="AE217" s="10">
        <f>F217*0.150907037012426</f>
        <v>0</v>
      </c>
      <c r="AF217" s="10">
        <f>F217*(1-0.150907037012426)</f>
        <v>0</v>
      </c>
    </row>
    <row r="218" spans="1:12" ht="12.75">
      <c r="A218" s="23"/>
      <c r="B218" s="23"/>
      <c r="C218" s="44" t="s">
        <v>379</v>
      </c>
      <c r="D218" s="23"/>
      <c r="E218" s="45">
        <v>17.38</v>
      </c>
      <c r="F218" s="23"/>
      <c r="G218" s="23"/>
      <c r="H218" s="23"/>
      <c r="I218" s="23"/>
      <c r="J218" s="23"/>
      <c r="K218" s="23"/>
      <c r="L218" s="23"/>
    </row>
    <row r="219" spans="1:32" ht="12.75">
      <c r="A219" s="41" t="s">
        <v>99</v>
      </c>
      <c r="B219" s="41" t="s">
        <v>205</v>
      </c>
      <c r="C219" s="41" t="s">
        <v>380</v>
      </c>
      <c r="D219" s="41" t="s">
        <v>400</v>
      </c>
      <c r="E219" s="42">
        <v>28.66599</v>
      </c>
      <c r="F219" s="42"/>
      <c r="G219" s="42">
        <f aca="true" t="shared" si="0" ref="G219:G225">ROUND(E219*AE219,2)</f>
        <v>0</v>
      </c>
      <c r="H219" s="42">
        <f aca="true" t="shared" si="1" ref="H219:H225">I219-G219</f>
        <v>0</v>
      </c>
      <c r="I219" s="42">
        <f aca="true" t="shared" si="2" ref="I219:I225">ROUND(E219*F219,2)</f>
        <v>0</v>
      </c>
      <c r="J219" s="42">
        <v>0</v>
      </c>
      <c r="K219" s="42">
        <f aca="true" t="shared" si="3" ref="K219:K225">E219*J219</f>
        <v>0</v>
      </c>
      <c r="L219" s="43" t="s">
        <v>426</v>
      </c>
      <c r="N219" s="6" t="s">
        <v>11</v>
      </c>
      <c r="O219" s="3">
        <f aca="true" t="shared" si="4" ref="O219:O225">IF(N219="5",H219,0)</f>
        <v>0</v>
      </c>
      <c r="Z219" s="3">
        <f aca="true" t="shared" si="5" ref="Z219:Z225">IF(AD219=0,I219,0)</f>
        <v>0</v>
      </c>
      <c r="AA219" s="3">
        <f aca="true" t="shared" si="6" ref="AA219:AA225">IF(AD219=15,I219,0)</f>
        <v>0</v>
      </c>
      <c r="AB219" s="3">
        <f aca="true" t="shared" si="7" ref="AB219:AB225">IF(AD219=21,I219,0)</f>
        <v>0</v>
      </c>
      <c r="AD219" s="10">
        <v>21</v>
      </c>
      <c r="AE219" s="10">
        <f aca="true" t="shared" si="8" ref="AE219:AE225">F219*0</f>
        <v>0</v>
      </c>
      <c r="AF219" s="10">
        <f aca="true" t="shared" si="9" ref="AF219:AF225">F219*(1-0)</f>
        <v>0</v>
      </c>
    </row>
    <row r="220" spans="1:32" ht="12.75">
      <c r="A220" s="41" t="s">
        <v>100</v>
      </c>
      <c r="B220" s="41" t="s">
        <v>206</v>
      </c>
      <c r="C220" s="41" t="s">
        <v>381</v>
      </c>
      <c r="D220" s="41" t="s">
        <v>400</v>
      </c>
      <c r="E220" s="42">
        <v>28.66599</v>
      </c>
      <c r="F220" s="42"/>
      <c r="G220" s="42">
        <f t="shared" si="0"/>
        <v>0</v>
      </c>
      <c r="H220" s="42">
        <f t="shared" si="1"/>
        <v>0</v>
      </c>
      <c r="I220" s="42">
        <f t="shared" si="2"/>
        <v>0</v>
      </c>
      <c r="J220" s="42">
        <v>0</v>
      </c>
      <c r="K220" s="42">
        <f t="shared" si="3"/>
        <v>0</v>
      </c>
      <c r="L220" s="43" t="s">
        <v>426</v>
      </c>
      <c r="N220" s="6" t="s">
        <v>11</v>
      </c>
      <c r="O220" s="3">
        <f t="shared" si="4"/>
        <v>0</v>
      </c>
      <c r="Z220" s="3">
        <f t="shared" si="5"/>
        <v>0</v>
      </c>
      <c r="AA220" s="3">
        <f t="shared" si="6"/>
        <v>0</v>
      </c>
      <c r="AB220" s="3">
        <f t="shared" si="7"/>
        <v>0</v>
      </c>
      <c r="AD220" s="10">
        <v>21</v>
      </c>
      <c r="AE220" s="10">
        <f t="shared" si="8"/>
        <v>0</v>
      </c>
      <c r="AF220" s="10">
        <f t="shared" si="9"/>
        <v>0</v>
      </c>
    </row>
    <row r="221" spans="1:32" ht="12.75">
      <c r="A221" s="41" t="s">
        <v>101</v>
      </c>
      <c r="B221" s="41" t="s">
        <v>207</v>
      </c>
      <c r="C221" s="41" t="s">
        <v>382</v>
      </c>
      <c r="D221" s="41" t="s">
        <v>400</v>
      </c>
      <c r="E221" s="42">
        <v>28.66599</v>
      </c>
      <c r="F221" s="42"/>
      <c r="G221" s="42">
        <f t="shared" si="0"/>
        <v>0</v>
      </c>
      <c r="H221" s="42">
        <f t="shared" si="1"/>
        <v>0</v>
      </c>
      <c r="I221" s="42">
        <f t="shared" si="2"/>
        <v>0</v>
      </c>
      <c r="J221" s="42">
        <v>0</v>
      </c>
      <c r="K221" s="42">
        <f t="shared" si="3"/>
        <v>0</v>
      </c>
      <c r="L221" s="43" t="s">
        <v>426</v>
      </c>
      <c r="N221" s="6" t="s">
        <v>11</v>
      </c>
      <c r="O221" s="3">
        <f t="shared" si="4"/>
        <v>0</v>
      </c>
      <c r="Z221" s="3">
        <f t="shared" si="5"/>
        <v>0</v>
      </c>
      <c r="AA221" s="3">
        <f t="shared" si="6"/>
        <v>0</v>
      </c>
      <c r="AB221" s="3">
        <f t="shared" si="7"/>
        <v>0</v>
      </c>
      <c r="AD221" s="10">
        <v>21</v>
      </c>
      <c r="AE221" s="10">
        <f t="shared" si="8"/>
        <v>0</v>
      </c>
      <c r="AF221" s="10">
        <f t="shared" si="9"/>
        <v>0</v>
      </c>
    </row>
    <row r="222" spans="1:32" ht="12.75">
      <c r="A222" s="41" t="s">
        <v>102</v>
      </c>
      <c r="B222" s="41" t="s">
        <v>208</v>
      </c>
      <c r="C222" s="41" t="s">
        <v>383</v>
      </c>
      <c r="D222" s="41" t="s">
        <v>400</v>
      </c>
      <c r="E222" s="42">
        <v>28.66599</v>
      </c>
      <c r="F222" s="42"/>
      <c r="G222" s="42">
        <f t="shared" si="0"/>
        <v>0</v>
      </c>
      <c r="H222" s="42">
        <f t="shared" si="1"/>
        <v>0</v>
      </c>
      <c r="I222" s="42">
        <f t="shared" si="2"/>
        <v>0</v>
      </c>
      <c r="J222" s="42">
        <v>0</v>
      </c>
      <c r="K222" s="42">
        <f t="shared" si="3"/>
        <v>0</v>
      </c>
      <c r="L222" s="43" t="s">
        <v>426</v>
      </c>
      <c r="N222" s="6" t="s">
        <v>11</v>
      </c>
      <c r="O222" s="3">
        <f t="shared" si="4"/>
        <v>0</v>
      </c>
      <c r="Z222" s="3">
        <f t="shared" si="5"/>
        <v>0</v>
      </c>
      <c r="AA222" s="3">
        <f t="shared" si="6"/>
        <v>0</v>
      </c>
      <c r="AB222" s="3">
        <f t="shared" si="7"/>
        <v>0</v>
      </c>
      <c r="AD222" s="10">
        <v>21</v>
      </c>
      <c r="AE222" s="10">
        <f t="shared" si="8"/>
        <v>0</v>
      </c>
      <c r="AF222" s="10">
        <f t="shared" si="9"/>
        <v>0</v>
      </c>
    </row>
    <row r="223" spans="1:32" ht="12.75">
      <c r="A223" s="41" t="s">
        <v>103</v>
      </c>
      <c r="B223" s="41" t="s">
        <v>209</v>
      </c>
      <c r="C223" s="41" t="s">
        <v>384</v>
      </c>
      <c r="D223" s="41" t="s">
        <v>400</v>
      </c>
      <c r="E223" s="42">
        <v>28.66599</v>
      </c>
      <c r="F223" s="42"/>
      <c r="G223" s="42">
        <f t="shared" si="0"/>
        <v>0</v>
      </c>
      <c r="H223" s="42">
        <f t="shared" si="1"/>
        <v>0</v>
      </c>
      <c r="I223" s="42">
        <f t="shared" si="2"/>
        <v>0</v>
      </c>
      <c r="J223" s="42">
        <v>0</v>
      </c>
      <c r="K223" s="42">
        <f t="shared" si="3"/>
        <v>0</v>
      </c>
      <c r="L223" s="43" t="s">
        <v>426</v>
      </c>
      <c r="N223" s="6" t="s">
        <v>11</v>
      </c>
      <c r="O223" s="3">
        <f t="shared" si="4"/>
        <v>0</v>
      </c>
      <c r="Z223" s="3">
        <f t="shared" si="5"/>
        <v>0</v>
      </c>
      <c r="AA223" s="3">
        <f t="shared" si="6"/>
        <v>0</v>
      </c>
      <c r="AB223" s="3">
        <f t="shared" si="7"/>
        <v>0</v>
      </c>
      <c r="AD223" s="10">
        <v>21</v>
      </c>
      <c r="AE223" s="10">
        <f t="shared" si="8"/>
        <v>0</v>
      </c>
      <c r="AF223" s="10">
        <f t="shared" si="9"/>
        <v>0</v>
      </c>
    </row>
    <row r="224" spans="1:32" ht="12.75">
      <c r="A224" s="41" t="s">
        <v>104</v>
      </c>
      <c r="B224" s="41" t="s">
        <v>210</v>
      </c>
      <c r="C224" s="41" t="s">
        <v>385</v>
      </c>
      <c r="D224" s="41" t="s">
        <v>400</v>
      </c>
      <c r="E224" s="42">
        <v>28.66599</v>
      </c>
      <c r="F224" s="42"/>
      <c r="G224" s="42">
        <f t="shared" si="0"/>
        <v>0</v>
      </c>
      <c r="H224" s="42">
        <f t="shared" si="1"/>
        <v>0</v>
      </c>
      <c r="I224" s="42">
        <f t="shared" si="2"/>
        <v>0</v>
      </c>
      <c r="J224" s="42">
        <v>0</v>
      </c>
      <c r="K224" s="42">
        <f t="shared" si="3"/>
        <v>0</v>
      </c>
      <c r="L224" s="43" t="s">
        <v>426</v>
      </c>
      <c r="N224" s="6" t="s">
        <v>11</v>
      </c>
      <c r="O224" s="3">
        <f t="shared" si="4"/>
        <v>0</v>
      </c>
      <c r="Z224" s="3">
        <f t="shared" si="5"/>
        <v>0</v>
      </c>
      <c r="AA224" s="3">
        <f t="shared" si="6"/>
        <v>0</v>
      </c>
      <c r="AB224" s="3">
        <f t="shared" si="7"/>
        <v>0</v>
      </c>
      <c r="AD224" s="10">
        <v>21</v>
      </c>
      <c r="AE224" s="10">
        <f t="shared" si="8"/>
        <v>0</v>
      </c>
      <c r="AF224" s="10">
        <f t="shared" si="9"/>
        <v>0</v>
      </c>
    </row>
    <row r="225" spans="1:32" ht="12.75">
      <c r="A225" s="41" t="s">
        <v>105</v>
      </c>
      <c r="B225" s="41" t="s">
        <v>211</v>
      </c>
      <c r="C225" s="41" t="s">
        <v>386</v>
      </c>
      <c r="D225" s="41" t="s">
        <v>400</v>
      </c>
      <c r="E225" s="42">
        <v>28.66599</v>
      </c>
      <c r="F225" s="42"/>
      <c r="G225" s="42">
        <f t="shared" si="0"/>
        <v>0</v>
      </c>
      <c r="H225" s="42">
        <f t="shared" si="1"/>
        <v>0</v>
      </c>
      <c r="I225" s="42">
        <f t="shared" si="2"/>
        <v>0</v>
      </c>
      <c r="J225" s="42">
        <v>0</v>
      </c>
      <c r="K225" s="42">
        <f t="shared" si="3"/>
        <v>0</v>
      </c>
      <c r="L225" s="43" t="s">
        <v>426</v>
      </c>
      <c r="N225" s="6" t="s">
        <v>11</v>
      </c>
      <c r="O225" s="3">
        <f t="shared" si="4"/>
        <v>0</v>
      </c>
      <c r="Z225" s="3">
        <f t="shared" si="5"/>
        <v>0</v>
      </c>
      <c r="AA225" s="3">
        <f t="shared" si="6"/>
        <v>0</v>
      </c>
      <c r="AB225" s="3">
        <f t="shared" si="7"/>
        <v>0</v>
      </c>
      <c r="AD225" s="10">
        <v>21</v>
      </c>
      <c r="AE225" s="10">
        <f t="shared" si="8"/>
        <v>0</v>
      </c>
      <c r="AF225" s="10">
        <f t="shared" si="9"/>
        <v>0</v>
      </c>
    </row>
    <row r="226" spans="1:37" ht="12.75">
      <c r="A226" s="46"/>
      <c r="B226" s="47" t="s">
        <v>212</v>
      </c>
      <c r="C226" s="103" t="s">
        <v>387</v>
      </c>
      <c r="D226" s="104"/>
      <c r="E226" s="104"/>
      <c r="F226" s="104"/>
      <c r="G226" s="48">
        <f>SUM(G227:G239)</f>
        <v>0</v>
      </c>
      <c r="H226" s="48">
        <f>SUM(H227:H239)</f>
        <v>0</v>
      </c>
      <c r="I226" s="48">
        <f>G226+H226</f>
        <v>0</v>
      </c>
      <c r="J226" s="49"/>
      <c r="K226" s="48">
        <f>SUM(K227:K239)</f>
        <v>0</v>
      </c>
      <c r="L226" s="49"/>
      <c r="P226" s="11">
        <f>IF(Q226="PR",I226,SUM(O227:O239))</f>
        <v>0</v>
      </c>
      <c r="Q226" s="5" t="s">
        <v>433</v>
      </c>
      <c r="R226" s="11">
        <f>IF(Q226="HS",G226,0)</f>
        <v>0</v>
      </c>
      <c r="S226" s="11">
        <f>IF(Q226="HS",H226-P226,0)</f>
        <v>0</v>
      </c>
      <c r="T226" s="11">
        <f>IF(Q226="PS",G226,0)</f>
        <v>0</v>
      </c>
      <c r="U226" s="11">
        <f>IF(Q226="PS",H226-P226,0)</f>
        <v>0</v>
      </c>
      <c r="V226" s="11">
        <f>IF(Q226="MP",G226,0)</f>
        <v>0</v>
      </c>
      <c r="W226" s="11">
        <f>IF(Q226="MP",H226-P226,0)</f>
        <v>0</v>
      </c>
      <c r="X226" s="11">
        <f>IF(Q226="OM",G226,0)</f>
        <v>0</v>
      </c>
      <c r="Y226" s="5"/>
      <c r="AI226" s="11">
        <f>SUM(Z227:Z239)</f>
        <v>0</v>
      </c>
      <c r="AJ226" s="11">
        <f>SUM(AA227:AA239)</f>
        <v>0</v>
      </c>
      <c r="AK226" s="11">
        <f>SUM(AB227:AB239)</f>
        <v>0</v>
      </c>
    </row>
    <row r="227" spans="1:32" ht="12.75">
      <c r="A227" s="41" t="s">
        <v>106</v>
      </c>
      <c r="B227" s="41" t="s">
        <v>213</v>
      </c>
      <c r="C227" s="41" t="s">
        <v>388</v>
      </c>
      <c r="D227" s="41" t="s">
        <v>404</v>
      </c>
      <c r="E227" s="42">
        <v>150</v>
      </c>
      <c r="F227" s="42"/>
      <c r="G227" s="42">
        <f>ROUND(E227*AE227,2)</f>
        <v>0</v>
      </c>
      <c r="H227" s="42">
        <f>I227-G227</f>
        <v>0</v>
      </c>
      <c r="I227" s="42">
        <f>ROUND(E227*F227,2)</f>
        <v>0</v>
      </c>
      <c r="J227" s="42">
        <v>0</v>
      </c>
      <c r="K227" s="42">
        <f>E227*J227</f>
        <v>0</v>
      </c>
      <c r="L227" s="43"/>
      <c r="N227" s="6" t="s">
        <v>7</v>
      </c>
      <c r="O227" s="3">
        <f>IF(N227="5",H227,0)</f>
        <v>0</v>
      </c>
      <c r="Z227" s="3">
        <f>IF(AD227=0,I227,0)</f>
        <v>0</v>
      </c>
      <c r="AA227" s="3">
        <f>IF(AD227=15,I227,0)</f>
        <v>0</v>
      </c>
      <c r="AB227" s="3">
        <f>IF(AD227=21,I227,0)</f>
        <v>0</v>
      </c>
      <c r="AD227" s="10">
        <v>21</v>
      </c>
      <c r="AE227" s="10">
        <f>F227*0</f>
        <v>0</v>
      </c>
      <c r="AF227" s="10">
        <f>F227*(1-0)</f>
        <v>0</v>
      </c>
    </row>
    <row r="228" spans="1:12" ht="12.75">
      <c r="A228" s="23"/>
      <c r="B228" s="23"/>
      <c r="C228" s="44" t="s">
        <v>389</v>
      </c>
      <c r="D228" s="23"/>
      <c r="E228" s="45">
        <v>150</v>
      </c>
      <c r="F228" s="23"/>
      <c r="G228" s="23"/>
      <c r="H228" s="23"/>
      <c r="I228" s="23"/>
      <c r="J228" s="23"/>
      <c r="K228" s="23"/>
      <c r="L228" s="23"/>
    </row>
    <row r="229" spans="1:32" ht="12.75">
      <c r="A229" s="50" t="s">
        <v>107</v>
      </c>
      <c r="B229" s="50" t="s">
        <v>214</v>
      </c>
      <c r="C229" s="50" t="s">
        <v>390</v>
      </c>
      <c r="D229" s="50" t="s">
        <v>406</v>
      </c>
      <c r="E229" s="51">
        <v>1</v>
      </c>
      <c r="F229" s="51"/>
      <c r="G229" s="51">
        <f>ROUND(E229*AE229,2)</f>
        <v>0</v>
      </c>
      <c r="H229" s="51">
        <f>I229-G229</f>
        <v>0</v>
      </c>
      <c r="I229" s="51">
        <f>ROUND(E229*F229,2)</f>
        <v>0</v>
      </c>
      <c r="J229" s="51">
        <v>0</v>
      </c>
      <c r="K229" s="51">
        <f>E229*J229</f>
        <v>0</v>
      </c>
      <c r="L229" s="52"/>
      <c r="N229" s="7" t="s">
        <v>428</v>
      </c>
      <c r="O229" s="4">
        <f>IF(N229="5",H229,0)</f>
        <v>0</v>
      </c>
      <c r="Z229" s="4">
        <f>IF(AD229=0,I229,0)</f>
        <v>0</v>
      </c>
      <c r="AA229" s="4">
        <f>IF(AD229=15,I229,0)</f>
        <v>0</v>
      </c>
      <c r="AB229" s="4">
        <f>IF(AD229=21,I229,0)</f>
        <v>0</v>
      </c>
      <c r="AD229" s="10">
        <v>21</v>
      </c>
      <c r="AE229" s="10">
        <f>F229*1</f>
        <v>0</v>
      </c>
      <c r="AF229" s="10">
        <f>F229*(1-1)</f>
        <v>0</v>
      </c>
    </row>
    <row r="230" spans="1:12" ht="12.75">
      <c r="A230" s="23"/>
      <c r="B230" s="23"/>
      <c r="C230" s="53" t="s">
        <v>7</v>
      </c>
      <c r="D230" s="23"/>
      <c r="E230" s="54">
        <v>1</v>
      </c>
      <c r="F230" s="23"/>
      <c r="G230" s="23"/>
      <c r="H230" s="23"/>
      <c r="I230" s="23"/>
      <c r="J230" s="23"/>
      <c r="K230" s="23"/>
      <c r="L230" s="23"/>
    </row>
    <row r="231" spans="1:32" ht="12.75">
      <c r="A231" s="41" t="s">
        <v>108</v>
      </c>
      <c r="B231" s="41" t="s">
        <v>215</v>
      </c>
      <c r="C231" s="41" t="s">
        <v>391</v>
      </c>
      <c r="D231" s="41" t="s">
        <v>402</v>
      </c>
      <c r="E231" s="42">
        <v>699.52</v>
      </c>
      <c r="F231" s="42"/>
      <c r="G231" s="42">
        <f>ROUND(E231*AE231,2)</f>
        <v>0</v>
      </c>
      <c r="H231" s="42">
        <f>I231-G231</f>
        <v>0</v>
      </c>
      <c r="I231" s="42">
        <f>ROUND(E231*F231,2)</f>
        <v>0</v>
      </c>
      <c r="J231" s="42">
        <v>0</v>
      </c>
      <c r="K231" s="42">
        <f>E231*J231</f>
        <v>0</v>
      </c>
      <c r="L231" s="43" t="s">
        <v>426</v>
      </c>
      <c r="N231" s="6" t="s">
        <v>8</v>
      </c>
      <c r="O231" s="3">
        <f>IF(N231="5",H231,0)</f>
        <v>0</v>
      </c>
      <c r="Z231" s="3">
        <f>IF(AD231=0,I231,0)</f>
        <v>0</v>
      </c>
      <c r="AA231" s="3">
        <f>IF(AD231=15,I231,0)</f>
        <v>0</v>
      </c>
      <c r="AB231" s="3">
        <f>IF(AD231=21,I231,0)</f>
        <v>0</v>
      </c>
      <c r="AD231" s="10">
        <v>21</v>
      </c>
      <c r="AE231" s="10">
        <f>F231*0.367814854682454</f>
        <v>0</v>
      </c>
      <c r="AF231" s="10">
        <f>F231*(1-0.367814854682454)</f>
        <v>0</v>
      </c>
    </row>
    <row r="232" spans="1:12" ht="12.75">
      <c r="A232" s="23"/>
      <c r="B232" s="23"/>
      <c r="C232" s="44" t="s">
        <v>392</v>
      </c>
      <c r="D232" s="23"/>
      <c r="E232" s="45">
        <v>279.5</v>
      </c>
      <c r="F232" s="23"/>
      <c r="G232" s="23"/>
      <c r="H232" s="23"/>
      <c r="I232" s="23"/>
      <c r="J232" s="23"/>
      <c r="K232" s="23"/>
      <c r="L232" s="23"/>
    </row>
    <row r="233" spans="1:12" ht="12.75">
      <c r="A233" s="23"/>
      <c r="B233" s="23"/>
      <c r="C233" s="44" t="s">
        <v>296</v>
      </c>
      <c r="D233" s="23"/>
      <c r="E233" s="45">
        <v>339.37</v>
      </c>
      <c r="F233" s="23"/>
      <c r="G233" s="23"/>
      <c r="H233" s="23"/>
      <c r="I233" s="23"/>
      <c r="J233" s="23"/>
      <c r="K233" s="23"/>
      <c r="L233" s="23"/>
    </row>
    <row r="234" spans="1:12" ht="12.75">
      <c r="A234" s="23"/>
      <c r="B234" s="23"/>
      <c r="C234" s="44" t="s">
        <v>393</v>
      </c>
      <c r="D234" s="23"/>
      <c r="E234" s="45">
        <v>80.65</v>
      </c>
      <c r="F234" s="23"/>
      <c r="G234" s="23"/>
      <c r="H234" s="23"/>
      <c r="I234" s="23"/>
      <c r="J234" s="23"/>
      <c r="K234" s="23"/>
      <c r="L234" s="23"/>
    </row>
    <row r="235" spans="1:32" ht="12.75">
      <c r="A235" s="41" t="s">
        <v>109</v>
      </c>
      <c r="B235" s="41" t="s">
        <v>216</v>
      </c>
      <c r="C235" s="41" t="s">
        <v>394</v>
      </c>
      <c r="D235" s="41" t="s">
        <v>403</v>
      </c>
      <c r="E235" s="42">
        <v>24</v>
      </c>
      <c r="F235" s="42"/>
      <c r="G235" s="42">
        <f>ROUND(E235*AE235,2)</f>
        <v>0</v>
      </c>
      <c r="H235" s="42">
        <f>I235-G235</f>
        <v>0</v>
      </c>
      <c r="I235" s="42">
        <f>ROUND(E235*F235,2)</f>
        <v>0</v>
      </c>
      <c r="J235" s="42">
        <v>0</v>
      </c>
      <c r="K235" s="42">
        <f>E235*J235</f>
        <v>0</v>
      </c>
      <c r="L235" s="43" t="s">
        <v>426</v>
      </c>
      <c r="N235" s="6" t="s">
        <v>8</v>
      </c>
      <c r="O235" s="3">
        <f>IF(N235="5",H235,0)</f>
        <v>0</v>
      </c>
      <c r="Z235" s="3">
        <f>IF(AD235=0,I235,0)</f>
        <v>0</v>
      </c>
      <c r="AA235" s="3">
        <f>IF(AD235=15,I235,0)</f>
        <v>0</v>
      </c>
      <c r="AB235" s="3">
        <f>IF(AD235=21,I235,0)</f>
        <v>0</v>
      </c>
      <c r="AD235" s="10">
        <v>21</v>
      </c>
      <c r="AE235" s="10">
        <f>F235*0.246792452830189</f>
        <v>0</v>
      </c>
      <c r="AF235" s="10">
        <f>F235*(1-0.246792452830189)</f>
        <v>0</v>
      </c>
    </row>
    <row r="236" spans="1:12" ht="12.75">
      <c r="A236" s="23"/>
      <c r="B236" s="23"/>
      <c r="C236" s="44" t="s">
        <v>30</v>
      </c>
      <c r="D236" s="23"/>
      <c r="E236" s="45">
        <v>24</v>
      </c>
      <c r="F236" s="23"/>
      <c r="G236" s="23"/>
      <c r="H236" s="23"/>
      <c r="I236" s="23"/>
      <c r="J236" s="23"/>
      <c r="K236" s="23"/>
      <c r="L236" s="23"/>
    </row>
    <row r="237" spans="1:32" ht="12.75">
      <c r="A237" s="41" t="s">
        <v>110</v>
      </c>
      <c r="B237" s="41" t="s">
        <v>217</v>
      </c>
      <c r="C237" s="41" t="s">
        <v>395</v>
      </c>
      <c r="D237" s="41" t="s">
        <v>403</v>
      </c>
      <c r="E237" s="42">
        <v>24</v>
      </c>
      <c r="F237" s="42"/>
      <c r="G237" s="42">
        <f>ROUND(E237*AE237,2)</f>
        <v>0</v>
      </c>
      <c r="H237" s="42">
        <f>I237-G237</f>
        <v>0</v>
      </c>
      <c r="I237" s="42">
        <f>ROUND(E237*F237,2)</f>
        <v>0</v>
      </c>
      <c r="J237" s="42">
        <v>0</v>
      </c>
      <c r="K237" s="42">
        <f>E237*J237</f>
        <v>0</v>
      </c>
      <c r="L237" s="43" t="s">
        <v>426</v>
      </c>
      <c r="N237" s="6" t="s">
        <v>8</v>
      </c>
      <c r="O237" s="3">
        <f>IF(N237="5",H237,0)</f>
        <v>0</v>
      </c>
      <c r="Z237" s="3">
        <f>IF(AD237=0,I237,0)</f>
        <v>0</v>
      </c>
      <c r="AA237" s="3">
        <f>IF(AD237=15,I237,0)</f>
        <v>0</v>
      </c>
      <c r="AB237" s="3">
        <f>IF(AD237=21,I237,0)</f>
        <v>0</v>
      </c>
      <c r="AD237" s="10">
        <v>21</v>
      </c>
      <c r="AE237" s="10">
        <f>F237*0.32228813559322</f>
        <v>0</v>
      </c>
      <c r="AF237" s="10">
        <f>F237*(1-0.32228813559322)</f>
        <v>0</v>
      </c>
    </row>
    <row r="238" spans="1:12" ht="12.75">
      <c r="A238" s="23"/>
      <c r="B238" s="23"/>
      <c r="C238" s="44" t="s">
        <v>30</v>
      </c>
      <c r="D238" s="23"/>
      <c r="E238" s="45">
        <v>24</v>
      </c>
      <c r="F238" s="23"/>
      <c r="G238" s="23"/>
      <c r="H238" s="23"/>
      <c r="I238" s="23"/>
      <c r="J238" s="23"/>
      <c r="K238" s="23"/>
      <c r="L238" s="23"/>
    </row>
    <row r="239" spans="1:32" ht="12.75">
      <c r="A239" s="41" t="s">
        <v>111</v>
      </c>
      <c r="B239" s="41" t="s">
        <v>218</v>
      </c>
      <c r="C239" s="41" t="s">
        <v>396</v>
      </c>
      <c r="D239" s="41" t="s">
        <v>403</v>
      </c>
      <c r="E239" s="42">
        <v>100</v>
      </c>
      <c r="F239" s="42"/>
      <c r="G239" s="42">
        <f>ROUND(E239*AE239,2)</f>
        <v>0</v>
      </c>
      <c r="H239" s="42">
        <f>I239-G239</f>
        <v>0</v>
      </c>
      <c r="I239" s="42">
        <f>ROUND(E239*F239,2)</f>
        <v>0</v>
      </c>
      <c r="J239" s="42">
        <v>0</v>
      </c>
      <c r="K239" s="42">
        <f>E239*J239</f>
        <v>0</v>
      </c>
      <c r="L239" s="43" t="s">
        <v>426</v>
      </c>
      <c r="N239" s="6" t="s">
        <v>8</v>
      </c>
      <c r="O239" s="3">
        <f>IF(N239="5",H239,0)</f>
        <v>0</v>
      </c>
      <c r="Z239" s="3">
        <f>IF(AD239=0,I239,0)</f>
        <v>0</v>
      </c>
      <c r="AA239" s="3">
        <f>IF(AD239=15,I239,0)</f>
        <v>0</v>
      </c>
      <c r="AB239" s="3">
        <f>IF(AD239=21,I239,0)</f>
        <v>0</v>
      </c>
      <c r="AD239" s="10">
        <v>21</v>
      </c>
      <c r="AE239" s="10">
        <f>F239*0.0986471251409245</f>
        <v>0</v>
      </c>
      <c r="AF239" s="10">
        <f>F239*(1-0.0986471251409245)</f>
        <v>0</v>
      </c>
    </row>
    <row r="240" spans="1:12" ht="12.75">
      <c r="A240" s="55"/>
      <c r="B240" s="55"/>
      <c r="C240" s="56" t="s">
        <v>106</v>
      </c>
      <c r="D240" s="55"/>
      <c r="E240" s="57">
        <v>100</v>
      </c>
      <c r="F240" s="55"/>
      <c r="G240" s="55"/>
      <c r="H240" s="55"/>
      <c r="I240" s="55"/>
      <c r="J240" s="55"/>
      <c r="K240" s="55"/>
      <c r="L240" s="55"/>
    </row>
    <row r="241" spans="1:28" ht="12.75">
      <c r="A241" s="58"/>
      <c r="B241" s="58"/>
      <c r="C241" s="58"/>
      <c r="D241" s="58"/>
      <c r="E241" s="58"/>
      <c r="F241" s="58"/>
      <c r="G241" s="105" t="s">
        <v>412</v>
      </c>
      <c r="H241" s="106"/>
      <c r="I241" s="59">
        <f>I12+I17+I26+I29+I32+I35+I50+I72+I82+I89+I105+I159+I165+I170+I191+I200+I226</f>
        <v>0</v>
      </c>
      <c r="J241" s="58"/>
      <c r="K241" s="58"/>
      <c r="L241" s="58"/>
      <c r="Z241" s="12">
        <f>SUM(Z13:Z240)</f>
        <v>0</v>
      </c>
      <c r="AA241" s="12">
        <f>SUM(AA13:AA240)</f>
        <v>0</v>
      </c>
      <c r="AB241" s="12">
        <f>SUM(AB13:AB240)</f>
        <v>0</v>
      </c>
    </row>
    <row r="242" spans="1:12" ht="12.75">
      <c r="A242" s="107" t="s">
        <v>482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1:12" ht="12.75">
      <c r="A243" s="60" t="s">
        <v>483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2.75">
      <c r="A245" s="61" t="s">
        <v>484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</row>
    <row r="246" spans="1:12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</sheetData>
  <sheetProtection/>
  <mergeCells count="48">
    <mergeCell ref="A1:L1"/>
    <mergeCell ref="A2:B3"/>
    <mergeCell ref="C2:C3"/>
    <mergeCell ref="D2:E3"/>
    <mergeCell ref="F2:G3"/>
    <mergeCell ref="H2:H3"/>
    <mergeCell ref="I2:L3"/>
    <mergeCell ref="H6:H7"/>
    <mergeCell ref="I6:L7"/>
    <mergeCell ref="A4:B5"/>
    <mergeCell ref="C4:C5"/>
    <mergeCell ref="D4:E5"/>
    <mergeCell ref="F4:G5"/>
    <mergeCell ref="A8:B9"/>
    <mergeCell ref="C8:C9"/>
    <mergeCell ref="D8:E9"/>
    <mergeCell ref="F8:G9"/>
    <mergeCell ref="H4:H5"/>
    <mergeCell ref="I4:L5"/>
    <mergeCell ref="A6:B7"/>
    <mergeCell ref="C6:C7"/>
    <mergeCell ref="D6:E7"/>
    <mergeCell ref="F6:G7"/>
    <mergeCell ref="C12:F12"/>
    <mergeCell ref="C17:F17"/>
    <mergeCell ref="C26:F26"/>
    <mergeCell ref="C29:F29"/>
    <mergeCell ref="H8:H9"/>
    <mergeCell ref="I8:L9"/>
    <mergeCell ref="G10:I10"/>
    <mergeCell ref="J10:K10"/>
    <mergeCell ref="C82:F82"/>
    <mergeCell ref="C89:F89"/>
    <mergeCell ref="C105:F105"/>
    <mergeCell ref="C159:F159"/>
    <mergeCell ref="C32:F32"/>
    <mergeCell ref="C35:F35"/>
    <mergeCell ref="C50:F50"/>
    <mergeCell ref="C72:F72"/>
    <mergeCell ref="A245:L245"/>
    <mergeCell ref="C226:F226"/>
    <mergeCell ref="G241:H241"/>
    <mergeCell ref="A242:L242"/>
    <mergeCell ref="A243:L244"/>
    <mergeCell ref="C165:F165"/>
    <mergeCell ref="C170:F170"/>
    <mergeCell ref="C191:F191"/>
    <mergeCell ref="C200:F200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2013-04-30T07:43:31Z</cp:lastPrinted>
  <dcterms:created xsi:type="dcterms:W3CDTF">2013-04-30T07:46:04Z</dcterms:created>
  <dcterms:modified xsi:type="dcterms:W3CDTF">2013-09-03T13:29:41Z</dcterms:modified>
  <cp:category/>
  <cp:version/>
  <cp:contentType/>
  <cp:contentStatus/>
</cp:coreProperties>
</file>